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2" activeTab="2"/>
  </bookViews>
  <sheets>
    <sheet name="Kalkulace svozu 7t - RD" sheetId="1" state="hidden" r:id="rId1"/>
    <sheet name="Kalkulace svozu 10t - pr. nákl." sheetId="2" state="hidden" r:id="rId2"/>
    <sheet name="Kalkulace svozu 7t-objekty- (2" sheetId="3" r:id="rId3"/>
    <sheet name="Stávající náklady za vývoz BRO" sheetId="4" state="hidden" r:id="rId4"/>
    <sheet name="Partnerské obce" sheetId="5" state="hidden" r:id="rId5"/>
  </sheets>
  <definedNames/>
  <calcPr fullCalcOnLoad="1"/>
</workbook>
</file>

<file path=xl/comments3.xml><?xml version="1.0" encoding="utf-8"?>
<comments xmlns="http://schemas.openxmlformats.org/spreadsheetml/2006/main">
  <authors>
    <author>kyzlink</author>
  </authors>
  <commentList>
    <comment ref="K16" authorId="0">
      <text>
        <r>
          <rPr>
            <sz val="12"/>
            <rFont val="Tahoma"/>
            <family val="2"/>
          </rPr>
          <t>Kalkulováno na 4 svozy v měsíci tzn. 1 svoz na 2 otočky, protože podle včerejších informací by u některých 1 otáčka nemusela stačit. V případě, že by došlo k nějakým odchylkách, tak si myslím, že to bude převážně v této oblasti, ale to nejsou nikterak markantní náklady. Nicméně i tak je to kalkulováno s maximální rezervou ve formě spotřeby vozu na 100 km, která bude předpokládám nižší, ale raději počítám více.
Děkuji za pochopení 
PK</t>
        </r>
      </text>
    </comment>
    <comment ref="M33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  <comment ref="C51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</commentList>
</comments>
</file>

<file path=xl/comments4.xml><?xml version="1.0" encoding="utf-8"?>
<comments xmlns="http://schemas.openxmlformats.org/spreadsheetml/2006/main">
  <authors>
    <author>OU-Světice</author>
  </authors>
  <commentList>
    <comment ref="F6" authorId="0">
      <text>
        <r>
          <rPr>
            <b/>
            <sz val="9"/>
            <rFont val="Tahoma"/>
            <family val="2"/>
          </rPr>
          <t>OU-Světice:</t>
        </r>
        <r>
          <rPr>
            <sz val="9"/>
            <rFont val="Tahoma"/>
            <family val="2"/>
          </rPr>
          <t xml:space="preserve">
Průměrná cena za svoz 1x za 14 dní</t>
        </r>
      </text>
    </comment>
  </commentList>
</comments>
</file>

<file path=xl/sharedStrings.xml><?xml version="1.0" encoding="utf-8"?>
<sst xmlns="http://schemas.openxmlformats.org/spreadsheetml/2006/main" count="436" uniqueCount="122">
  <si>
    <t>Partnerské obce - KOMPOSTÁRNA Struhařov</t>
  </si>
  <si>
    <t>počet obyvatel</t>
  </si>
  <si>
    <t>podíl v% dle počtu obyv.</t>
  </si>
  <si>
    <t>počet domů</t>
  </si>
  <si>
    <t>počet chat</t>
  </si>
  <si>
    <t>počet domů přepočtem 2 os/dům</t>
  </si>
  <si>
    <t>předpoklad množství bioodpadu v tunách při 80kg/os/rok</t>
  </si>
  <si>
    <t>předpoklad množství bioodpadu v tunách při 100kg/os/rok</t>
  </si>
  <si>
    <t>investiční podíl jednotlivých obcí dle podílu počtu obyvatel při čerpání plné míry de minimis po odečtení 90% dotace</t>
  </si>
  <si>
    <t>Mnichovice</t>
  </si>
  <si>
    <t>Klokočná</t>
  </si>
  <si>
    <t>Světice</t>
  </si>
  <si>
    <t>Louňovice</t>
  </si>
  <si>
    <t>Kaliště</t>
  </si>
  <si>
    <t>Ondřejov</t>
  </si>
  <si>
    <t>Stříbrná Skalice</t>
  </si>
  <si>
    <t>Zvánovice</t>
  </si>
  <si>
    <t>Všestary</t>
  </si>
  <si>
    <t>Struhařov</t>
  </si>
  <si>
    <t>celkem</t>
  </si>
  <si>
    <t>Obce oslovené a uvažující o partnerství</t>
  </si>
  <si>
    <t>Svojetice</t>
  </si>
  <si>
    <t>Jevany</t>
  </si>
  <si>
    <t>Vyžlovka</t>
  </si>
  <si>
    <t>Oleška</t>
  </si>
  <si>
    <t>Tehov</t>
  </si>
  <si>
    <t>Celkem</t>
  </si>
  <si>
    <t>Obce se kterými se uvažuje, ale prozatím osloveny nebyly</t>
  </si>
  <si>
    <t>Kozojedy</t>
  </si>
  <si>
    <t>Štíhlice</t>
  </si>
  <si>
    <t>Nučice</t>
  </si>
  <si>
    <t>Doubravčice</t>
  </si>
  <si>
    <t>Chocerady</t>
  </si>
  <si>
    <t>Černé Voděrady</t>
  </si>
  <si>
    <t>Hrusice</t>
  </si>
  <si>
    <t>Říčany???</t>
  </si>
  <si>
    <t>Obce Svazku obcí Region Jih, které se k partnerství s Kompostárnou Struhařov  nepřihlásily</t>
  </si>
  <si>
    <t>Strančice</t>
  </si>
  <si>
    <t>Kunice</t>
  </si>
  <si>
    <t>Mukařov</t>
  </si>
  <si>
    <t>Tehovec</t>
  </si>
  <si>
    <t>provozní náklady na svoz</t>
  </si>
  <si>
    <t>Provozní náklady souhrn</t>
  </si>
  <si>
    <t>stávající svozová firma</t>
  </si>
  <si>
    <t>biopopelnice vlastní/ v nájmu od svozové firmy</t>
  </si>
  <si>
    <t>množství skutečně likvidovaného BRO 2014 - biopopelnice</t>
  </si>
  <si>
    <t>množství skutečně likvidovaného BRO 2014 - kompostárna</t>
  </si>
  <si>
    <t>ASA</t>
  </si>
  <si>
    <t>nájem</t>
  </si>
  <si>
    <t>1x14dní</t>
  </si>
  <si>
    <t>Marius Pedersen</t>
  </si>
  <si>
    <t>Provozní náklady souhrn za rok</t>
  </si>
  <si>
    <t>Nákladová skupina</t>
  </si>
  <si>
    <t>Spotřeba paliva na 100 km</t>
  </si>
  <si>
    <t>Cena za 1 litr PHM (nafta)</t>
  </si>
  <si>
    <t>Celková spotřeba paliva za měsíc</t>
  </si>
  <si>
    <t>Náklady na PHM / měsíc</t>
  </si>
  <si>
    <t>v nájmu</t>
  </si>
  <si>
    <t>návoz ASA na kompostárnu</t>
  </si>
  <si>
    <t>Aktuální počet biopopelnic 120l               1x 14 dnů</t>
  </si>
  <si>
    <t>Aktuální počet biopopelnic 120l               1x týdně</t>
  </si>
  <si>
    <t>Aktuální počet biopopelnic 240l              1x týdně</t>
  </si>
  <si>
    <t>Aktuální počet biopopelnic 240l              1x 14 dnů</t>
  </si>
  <si>
    <t>cena za vývoz 120l         1x 14 dnů</t>
  </si>
  <si>
    <t>cena za vývoz 120l           1x týdně</t>
  </si>
  <si>
    <t>cena za vývoz 240l      1x týdně</t>
  </si>
  <si>
    <t>cena za vývoz 240l      1x 14 dnů</t>
  </si>
  <si>
    <t>nevím</t>
  </si>
  <si>
    <t>Svozů je 36, leden, únor nic, březen a duben 1x za 14 dní, květen až listopad každý týden, prosinec 1x</t>
  </si>
  <si>
    <t>žádné</t>
  </si>
  <si>
    <t>Náklady na PHM /rok</t>
  </si>
  <si>
    <t>Časová náročnost v hodinách / svozy</t>
  </si>
  <si>
    <t>Frekvence svozu</t>
  </si>
  <si>
    <t>Řidič</t>
  </si>
  <si>
    <t>Administrativa</t>
  </si>
  <si>
    <t>Měsíční náklad</t>
  </si>
  <si>
    <t>Roční náklad</t>
  </si>
  <si>
    <t>Spotřeba paliva</t>
  </si>
  <si>
    <t>Likvidace BRKO/obec</t>
  </si>
  <si>
    <t>Pronájem kanceláře, garážování vozu atd.</t>
  </si>
  <si>
    <t>Celkem náklady za svazek obcí při rovnoměrném rozložení nákladů (kalkulováno 14 obcí)</t>
  </si>
  <si>
    <t>Celkem náklady za obec při rovnoměrném rozložení nákladů na zmíněných 14 obcí</t>
  </si>
  <si>
    <t>Údržba, provoz  vozu</t>
  </si>
  <si>
    <t>Mzdové náklady včetně odvodů + pronájem atd.</t>
  </si>
  <si>
    <t>Spotřeba pohonných hmot</t>
  </si>
  <si>
    <t>Údržba, provoz vozu</t>
  </si>
  <si>
    <t>Svozová vzdálenost - obec - kompostárna (je plánován u každé obce svoz 2 auta)</t>
  </si>
  <si>
    <t>Svozová vzdálenost - délka ulic po obci (obrátka 1 svoz 2x tzn. celkem 4 svozy v měsíci 1x za 14 dní)</t>
  </si>
  <si>
    <t>Parametr přepočtu dle počtu obyvatel</t>
  </si>
  <si>
    <t>Počet obyvatel</t>
  </si>
  <si>
    <t>Celkem za rok</t>
  </si>
  <si>
    <t>Celkem obyvatel 2015</t>
  </si>
  <si>
    <t>Likvidace BRKO (Struhařov)</t>
  </si>
  <si>
    <t>Počet RD</t>
  </si>
  <si>
    <t>Počet chat</t>
  </si>
  <si>
    <t>Neznám přesné údaje</t>
  </si>
  <si>
    <t>Celkové náklady obce při plánovaném svozu 10t měsíčně</t>
  </si>
  <si>
    <t>Počet domů celkem v jednotlivých obcích svazku</t>
  </si>
  <si>
    <t>Nárůst poplatku za svoz odpadů na 1 RD/rok při svozu 1x za 14 dní o objemu 10 t (pouze RD bez chat) / ROK</t>
  </si>
  <si>
    <t>Nárůst poplatku za svoz odpadů na 1 RD/rok při svozu 1x za 14 dní o objemu 10 t (dům bez ohledu na chatu a RD) / ROK</t>
  </si>
  <si>
    <t>Počet trvale hlášených obyvatel v jednotlivých obcích svazku (bez chatařů a osob skutečně žijících v obci)</t>
  </si>
  <si>
    <t>Závozník - osoba nakládající BRKO</t>
  </si>
  <si>
    <t>Úvaha je, že by si každá obec zajistila svého člověka (z technických služeb apod.), který by vypomohl vždy 1x za 14 dní s nakládkou</t>
  </si>
  <si>
    <t>DPP - úvazek zkrácený</t>
  </si>
  <si>
    <t>Celkem RD 2015 bez chat</t>
  </si>
  <si>
    <t>Počet RD včetně chat</t>
  </si>
  <si>
    <t>Nárůst poplatku za svoz odpadů na 1 RD/rok při svozu 1x za 14 dní o objemu 7 t (pouze RD bez chat) / ROK</t>
  </si>
  <si>
    <t>Nárůst poplatku za svoz odpadů na 1 RD/rok při svozu 1x za 14 dní o objemu 7 t (dům bez ohledu na chatu a RD) / ROK</t>
  </si>
  <si>
    <t>Celkové náklady obce při plánovaném svozu 7t měsíčně</t>
  </si>
  <si>
    <t>Svozová vzdálenost - obec - kompostárna (je plánován u každé obce svoz 1 auta)</t>
  </si>
  <si>
    <t>Svozová vzdálenost - délka ulic po obci (obrátka 1 svoz 1x tzn. celkem 2 svozy v měsíci 1x za 14 dní)</t>
  </si>
  <si>
    <t>Celkem náklady za svazek obcí při rovnoměrném rozložení nákladů (kalkulováno 12 obcí)</t>
  </si>
  <si>
    <t>1,5úvazku</t>
  </si>
  <si>
    <t>1 úvazek</t>
  </si>
  <si>
    <t>Počet vyvezených popelnic pořízených obcemi v rámci dotace</t>
  </si>
  <si>
    <t>Celkový počet vyvážených popelnic pořízených obcemi v rámci dotace (12 obcí)</t>
  </si>
  <si>
    <t>Počet vyvážených poplenic</t>
  </si>
  <si>
    <t xml:space="preserve">Náklady na za svoz odpadů na 1 biopopelnici /rok při svozu 1x za 14 dní </t>
  </si>
  <si>
    <t>Náklady na za svoz odpadů na 1 biopopelnici /rok při svozu 1x za 14 dní za předpokladu, že službu využije pouze 75% biopop.</t>
  </si>
  <si>
    <t>Náklady na za svoz odpadů na 1 biopopelnici /rok při svozu 1x za 14 dní za předpokladu, že službu využije pouze 50% biopop.</t>
  </si>
  <si>
    <t xml:space="preserve"> Víte kolik je to domů při 75% využití služeb </t>
  </si>
  <si>
    <t>Víte kolik je to domů při 50% využití služeb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</si>
</sst>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\-??\ _K_č_-;_-@_-"/>
    <numFmt numFmtId="165" formatCode="_-* #,##0.00\ _K_č_-;\-* #,##0.00\ _K_č_-;_-* \-??\ _K_č_-;_-@_-"/>
    <numFmt numFmtId="166" formatCode="#,##0\ &quot;Kč&quot;"/>
    <numFmt numFmtId="167" formatCode="#,##0.00\ &quot;Kč&quot;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h\od/"/>
    <numFmt numFmtId="174" formatCode="#,##0\ _K_č"/>
    <numFmt numFmtId="175" formatCode="#,##0.0000\ &quot;Kč&quot;"/>
    <numFmt numFmtId="176" formatCode="#,##0.00\ _K_č"/>
    <numFmt numFmtId="177" formatCode="0.000"/>
    <numFmt numFmtId="178" formatCode="#,##0.000\ &quot;Kč&quot;"/>
    <numFmt numFmtId="179" formatCode="0.0"/>
    <numFmt numFmtId="180" formatCode="0.0000"/>
    <numFmt numFmtId="181" formatCode="#,##0.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4" borderId="11" xfId="0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35" borderId="16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4" fillId="34" borderId="18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3" xfId="0" applyNumberFormat="1" applyFill="1" applyBorder="1" applyAlignment="1">
      <alignment/>
    </xf>
    <xf numFmtId="164" fontId="4" fillId="36" borderId="14" xfId="34" applyNumberFormat="1" applyFont="1" applyFill="1" applyBorder="1" applyAlignment="1" applyProtection="1">
      <alignment/>
      <protection/>
    </xf>
    <xf numFmtId="164" fontId="4" fillId="36" borderId="13" xfId="34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1" fontId="4" fillId="36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168" fontId="0" fillId="0" borderId="27" xfId="0" applyNumberFormat="1" applyBorder="1" applyAlignment="1">
      <alignment/>
    </xf>
    <xf numFmtId="0" fontId="0" fillId="0" borderId="30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7" borderId="17" xfId="0" applyNumberFormat="1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2" fontId="0" fillId="37" borderId="36" xfId="0" applyNumberForma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5" fillId="0" borderId="0" xfId="0" applyFont="1" applyAlignment="1">
      <alignment horizontal="right" vertical="center" wrapText="1"/>
    </xf>
    <xf numFmtId="0" fontId="0" fillId="0" borderId="34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46" fillId="0" borderId="0" xfId="0" applyFont="1" applyAlignment="1">
      <alignment horizontal="left" vertical="center" wrapText="1" indent="2"/>
    </xf>
    <xf numFmtId="0" fontId="0" fillId="0" borderId="21" xfId="0" applyBorder="1" applyAlignment="1">
      <alignment horizontal="left" vertical="center" indent="2"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37" xfId="0" applyFill="1" applyBorder="1" applyAlignment="1">
      <alignment horizontal="center"/>
    </xf>
    <xf numFmtId="0" fontId="47" fillId="0" borderId="0" xfId="0" applyFont="1" applyAlignment="1">
      <alignment/>
    </xf>
    <xf numFmtId="0" fontId="0" fillId="40" borderId="23" xfId="0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4" fillId="34" borderId="3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0" fillId="41" borderId="17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166" fontId="4" fillId="44" borderId="13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4" fillId="8" borderId="13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justify" vertical="justify" wrapText="1"/>
    </xf>
    <xf numFmtId="166" fontId="4" fillId="0" borderId="0" xfId="0" applyNumberFormat="1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0" fillId="0" borderId="27" xfId="0" applyFont="1" applyBorder="1" applyAlignment="1">
      <alignment/>
    </xf>
    <xf numFmtId="0" fontId="4" fillId="45" borderId="15" xfId="0" applyFont="1" applyFill="1" applyBorder="1" applyAlignment="1">
      <alignment horizontal="justify" vertical="justify" wrapText="1"/>
    </xf>
    <xf numFmtId="166" fontId="4" fillId="45" borderId="1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Font="1" applyBorder="1" applyAlignment="1">
      <alignment vertical="distributed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2" fontId="0" fillId="6" borderId="27" xfId="0" applyNumberForma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66" fontId="4" fillId="0" borderId="41" xfId="0" applyNumberFormat="1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34" borderId="4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47" borderId="29" xfId="0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50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34" borderId="51" xfId="0" applyFont="1" applyFill="1" applyBorder="1" applyAlignment="1">
      <alignment/>
    </xf>
    <xf numFmtId="0" fontId="0" fillId="46" borderId="52" xfId="0" applyFill="1" applyBorder="1" applyAlignment="1">
      <alignment horizontal="center"/>
    </xf>
    <xf numFmtId="0" fontId="0" fillId="46" borderId="52" xfId="0" applyFont="1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166" fontId="4" fillId="0" borderId="53" xfId="0" applyNumberFormat="1" applyFont="1" applyBorder="1" applyAlignment="1">
      <alignment horizontal="center"/>
    </xf>
    <xf numFmtId="0" fontId="0" fillId="44" borderId="54" xfId="0" applyFill="1" applyBorder="1" applyAlignment="1">
      <alignment/>
    </xf>
    <xf numFmtId="0" fontId="0" fillId="44" borderId="55" xfId="0" applyFill="1" applyBorder="1" applyAlignment="1">
      <alignment/>
    </xf>
    <xf numFmtId="166" fontId="4" fillId="44" borderId="29" xfId="0" applyNumberFormat="1" applyFont="1" applyFill="1" applyBorder="1" applyAlignment="1">
      <alignment horizontal="center"/>
    </xf>
    <xf numFmtId="166" fontId="4" fillId="44" borderId="27" xfId="0" applyNumberFormat="1" applyFont="1" applyFill="1" applyBorder="1" applyAlignment="1">
      <alignment horizontal="center"/>
    </xf>
    <xf numFmtId="166" fontId="4" fillId="44" borderId="52" xfId="0" applyNumberFormat="1" applyFont="1" applyFill="1" applyBorder="1" applyAlignment="1">
      <alignment horizontal="center"/>
    </xf>
    <xf numFmtId="3" fontId="4" fillId="36" borderId="55" xfId="0" applyNumberFormat="1" applyFont="1" applyFill="1" applyBorder="1" applyAlignment="1">
      <alignment horizontal="center"/>
    </xf>
    <xf numFmtId="167" fontId="4" fillId="44" borderId="55" xfId="0" applyNumberFormat="1" applyFont="1" applyFill="1" applyBorder="1" applyAlignment="1">
      <alignment horizontal="center"/>
    </xf>
    <xf numFmtId="167" fontId="4" fillId="47" borderId="27" xfId="0" applyNumberFormat="1" applyFont="1" applyFill="1" applyBorder="1" applyAlignment="1">
      <alignment horizontal="center"/>
    </xf>
    <xf numFmtId="167" fontId="4" fillId="47" borderId="5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177" fontId="0" fillId="6" borderId="27" xfId="0" applyNumberForma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166" fontId="0" fillId="0" borderId="59" xfId="0" applyNumberFormat="1" applyBorder="1" applyAlignment="1">
      <alignment horizontal="center"/>
    </xf>
    <xf numFmtId="0" fontId="4" fillId="36" borderId="45" xfId="0" applyFont="1" applyFill="1" applyBorder="1" applyAlignment="1">
      <alignment/>
    </xf>
    <xf numFmtId="0" fontId="4" fillId="36" borderId="60" xfId="0" applyFont="1" applyFill="1" applyBorder="1" applyAlignment="1">
      <alignment horizontal="center"/>
    </xf>
    <xf numFmtId="0" fontId="4" fillId="36" borderId="60" xfId="0" applyFont="1" applyFill="1" applyBorder="1" applyAlignment="1">
      <alignment/>
    </xf>
    <xf numFmtId="1" fontId="4" fillId="36" borderId="60" xfId="0" applyNumberFormat="1" applyFont="1" applyFill="1" applyBorder="1" applyAlignment="1">
      <alignment/>
    </xf>
    <xf numFmtId="166" fontId="4" fillId="44" borderId="60" xfId="0" applyNumberFormat="1" applyFont="1" applyFill="1" applyBorder="1" applyAlignment="1">
      <alignment horizontal="center"/>
    </xf>
    <xf numFmtId="166" fontId="4" fillId="44" borderId="61" xfId="0" applyNumberFormat="1" applyFont="1" applyFill="1" applyBorder="1" applyAlignment="1">
      <alignment horizontal="center"/>
    </xf>
    <xf numFmtId="177" fontId="0" fillId="6" borderId="4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8" borderId="62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166" fontId="0" fillId="0" borderId="67" xfId="0" applyNumberFormat="1" applyBorder="1" applyAlignment="1">
      <alignment horizontal="center"/>
    </xf>
    <xf numFmtId="0" fontId="4" fillId="45" borderId="68" xfId="0" applyFont="1" applyFill="1" applyBorder="1" applyAlignment="1">
      <alignment horizontal="justify" vertical="justify" wrapText="1"/>
    </xf>
    <xf numFmtId="166" fontId="4" fillId="45" borderId="69" xfId="0" applyNumberFormat="1" applyFont="1" applyFill="1" applyBorder="1" applyAlignment="1">
      <alignment horizontal="center" vertical="center"/>
    </xf>
    <xf numFmtId="0" fontId="4" fillId="45" borderId="70" xfId="0" applyFont="1" applyFill="1" applyBorder="1" applyAlignment="1">
      <alignment horizontal="justify" vertical="justify" wrapText="1"/>
    </xf>
    <xf numFmtId="166" fontId="4" fillId="45" borderId="71" xfId="0" applyNumberFormat="1" applyFont="1" applyFill="1" applyBorder="1" applyAlignment="1">
      <alignment horizontal="center" vertical="center"/>
    </xf>
    <xf numFmtId="166" fontId="4" fillId="45" borderId="72" xfId="0" applyNumberFormat="1" applyFont="1" applyFill="1" applyBorder="1" applyAlignment="1">
      <alignment horizontal="center" vertical="center"/>
    </xf>
    <xf numFmtId="0" fontId="0" fillId="35" borderId="7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4" fillId="34" borderId="74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36" borderId="76" xfId="0" applyFont="1" applyFill="1" applyBorder="1" applyAlignment="1">
      <alignment/>
    </xf>
    <xf numFmtId="0" fontId="0" fillId="44" borderId="77" xfId="0" applyFill="1" applyBorder="1" applyAlignment="1">
      <alignment/>
    </xf>
    <xf numFmtId="3" fontId="4" fillId="48" borderId="78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34" borderId="79" xfId="0" applyFont="1" applyFill="1" applyBorder="1" applyAlignment="1">
      <alignment/>
    </xf>
    <xf numFmtId="3" fontId="4" fillId="36" borderId="77" xfId="0" applyNumberFormat="1" applyFont="1" applyFill="1" applyBorder="1" applyAlignment="1">
      <alignment horizontal="center"/>
    </xf>
    <xf numFmtId="167" fontId="4" fillId="44" borderId="80" xfId="0" applyNumberFormat="1" applyFont="1" applyFill="1" applyBorder="1" applyAlignment="1">
      <alignment horizontal="center"/>
    </xf>
    <xf numFmtId="3" fontId="4" fillId="36" borderId="46" xfId="0" applyNumberFormat="1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167" fontId="4" fillId="4" borderId="29" xfId="0" applyNumberFormat="1" applyFont="1" applyFill="1" applyBorder="1" applyAlignment="1">
      <alignment horizontal="center"/>
    </xf>
    <xf numFmtId="167" fontId="4" fillId="4" borderId="27" xfId="0" applyNumberFormat="1" applyFont="1" applyFill="1" applyBorder="1" applyAlignment="1">
      <alignment horizontal="center"/>
    </xf>
    <xf numFmtId="167" fontId="4" fillId="4" borderId="81" xfId="0" applyNumberFormat="1" applyFont="1" applyFill="1" applyBorder="1" applyAlignment="1">
      <alignment horizontal="center"/>
    </xf>
    <xf numFmtId="167" fontId="4" fillId="4" borderId="52" xfId="0" applyNumberFormat="1" applyFont="1" applyFill="1" applyBorder="1" applyAlignment="1">
      <alignment horizontal="center"/>
    </xf>
    <xf numFmtId="3" fontId="4" fillId="49" borderId="29" xfId="0" applyNumberFormat="1" applyFont="1" applyFill="1" applyBorder="1" applyAlignment="1">
      <alignment horizontal="center"/>
    </xf>
    <xf numFmtId="3" fontId="4" fillId="49" borderId="27" xfId="0" applyNumberFormat="1" applyFont="1" applyFill="1" applyBorder="1" applyAlignment="1">
      <alignment horizontal="center"/>
    </xf>
    <xf numFmtId="3" fontId="4" fillId="49" borderId="81" xfId="0" applyNumberFormat="1" applyFont="1" applyFill="1" applyBorder="1" applyAlignment="1">
      <alignment horizontal="center"/>
    </xf>
    <xf numFmtId="3" fontId="4" fillId="49" borderId="52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/>
    </xf>
    <xf numFmtId="3" fontId="4" fillId="4" borderId="52" xfId="0" applyNumberFormat="1" applyFont="1" applyFill="1" applyBorder="1" applyAlignment="1">
      <alignment horizontal="center"/>
    </xf>
    <xf numFmtId="166" fontId="4" fillId="44" borderId="80" xfId="0" applyNumberFormat="1" applyFont="1" applyFill="1" applyBorder="1" applyAlignment="1">
      <alignment horizontal="center"/>
    </xf>
    <xf numFmtId="166" fontId="4" fillId="46" borderId="50" xfId="0" applyNumberFormat="1" applyFont="1" applyFill="1" applyBorder="1" applyAlignment="1">
      <alignment horizontal="center"/>
    </xf>
    <xf numFmtId="166" fontId="4" fillId="46" borderId="28" xfId="0" applyNumberFormat="1" applyFont="1" applyFill="1" applyBorder="1" applyAlignment="1">
      <alignment horizontal="center"/>
    </xf>
    <xf numFmtId="166" fontId="4" fillId="46" borderId="82" xfId="0" applyNumberFormat="1" applyFont="1" applyFill="1" applyBorder="1" applyAlignment="1">
      <alignment horizontal="center"/>
    </xf>
    <xf numFmtId="166" fontId="4" fillId="46" borderId="53" xfId="0" applyNumberFormat="1" applyFont="1" applyFill="1" applyBorder="1" applyAlignment="1">
      <alignment horizontal="center"/>
    </xf>
    <xf numFmtId="1" fontId="0" fillId="42" borderId="27" xfId="0" applyNumberFormat="1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1" fontId="0" fillId="44" borderId="27" xfId="0" applyNumberFormat="1" applyFill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50" borderId="84" xfId="0" applyFill="1" applyBorder="1" applyAlignment="1">
      <alignment/>
    </xf>
    <xf numFmtId="0" fontId="0" fillId="50" borderId="8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762000</xdr:colOff>
      <xdr:row>33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848350" y="793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pane xSplit="3" topLeftCell="D1" activePane="topRight" state="frozen"/>
      <selection pane="topLeft" activeCell="I46" sqref="I46"/>
      <selection pane="topRight"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53" t="s">
        <v>51</v>
      </c>
      <c r="C34" s="254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188" t="s">
        <v>104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93</v>
      </c>
      <c r="C36" s="65">
        <v>4580</v>
      </c>
      <c r="D36" s="150">
        <v>118</v>
      </c>
      <c r="E36" s="150">
        <v>394</v>
      </c>
      <c r="F36" s="150">
        <v>436</v>
      </c>
      <c r="G36" s="150">
        <v>80</v>
      </c>
      <c r="H36" s="150">
        <v>650</v>
      </c>
      <c r="I36" s="150">
        <v>594</v>
      </c>
      <c r="J36" s="150">
        <v>200</v>
      </c>
      <c r="K36" s="150">
        <v>341</v>
      </c>
      <c r="L36" s="150">
        <v>298</v>
      </c>
      <c r="M36" s="64">
        <v>345</v>
      </c>
      <c r="N36" s="64">
        <v>385</v>
      </c>
      <c r="O36" s="64">
        <v>279</v>
      </c>
      <c r="P36" s="64">
        <v>310</v>
      </c>
      <c r="Q36" s="109">
        <v>150</v>
      </c>
    </row>
    <row r="37" spans="2:17" ht="15.75" customHeight="1">
      <c r="B37" s="148" t="s">
        <v>52</v>
      </c>
      <c r="C37" s="149" t="s">
        <v>90</v>
      </c>
      <c r="D37" s="151">
        <f>D36/C36</f>
        <v>0.02576419213973799</v>
      </c>
      <c r="E37" s="151">
        <f>E36/C36</f>
        <v>0.08602620087336245</v>
      </c>
      <c r="F37" s="151">
        <f>F36/C36</f>
        <v>0.09519650655021834</v>
      </c>
      <c r="G37" s="151">
        <f>G36/C36</f>
        <v>0.017467248908296942</v>
      </c>
      <c r="H37" s="151">
        <f>H36/C36</f>
        <v>0.14192139737991266</v>
      </c>
      <c r="I37" s="151">
        <f>I36/C36</f>
        <v>0.1296943231441048</v>
      </c>
      <c r="J37" s="151">
        <f>J36/C36</f>
        <v>0.043668122270742356</v>
      </c>
      <c r="K37" s="151">
        <f>K36/C36</f>
        <v>0.07445414847161572</v>
      </c>
      <c r="L37" s="151">
        <f>L36/C36</f>
        <v>0.06506550218340611</v>
      </c>
      <c r="M37" s="151">
        <f>M36/C36</f>
        <v>0.07532751091703056</v>
      </c>
      <c r="N37" s="151">
        <f>N36/C36</f>
        <v>0.08406113537117904</v>
      </c>
      <c r="O37" s="151">
        <f>O36/C36</f>
        <v>0.06091703056768559</v>
      </c>
      <c r="P37" s="151">
        <f>P36/C36</f>
        <v>0.06768558951965066</v>
      </c>
      <c r="Q37" s="151">
        <f>Q36/C36</f>
        <v>0.03275109170305677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15458.515283842795</v>
      </c>
      <c r="E38" s="154">
        <f>C38*E37</f>
        <v>51615.720524017466</v>
      </c>
      <c r="F38" s="154">
        <f>C38*F37</f>
        <v>57117.903930131004</v>
      </c>
      <c r="G38" s="154">
        <f>C38*G37</f>
        <v>10480.349344978165</v>
      </c>
      <c r="H38" s="154">
        <f>C38*H37</f>
        <v>85152.8384279476</v>
      </c>
      <c r="I38" s="154">
        <f>C38*I37</f>
        <v>77816.59388646288</v>
      </c>
      <c r="J38" s="154">
        <f>C38*J37</f>
        <v>26200.873362445414</v>
      </c>
      <c r="K38" s="154">
        <f>C38*K37</f>
        <v>44672.48908296943</v>
      </c>
      <c r="L38" s="154">
        <f>C38*L37</f>
        <v>39039.301310043666</v>
      </c>
      <c r="M38" s="154">
        <f>C38*M37</f>
        <v>45196.506550218335</v>
      </c>
      <c r="N38" s="154">
        <f>C38*N37</f>
        <v>50436.681222707426</v>
      </c>
      <c r="O38" s="154">
        <f>C38*O37</f>
        <v>36550.218340611355</v>
      </c>
      <c r="P38" s="154">
        <f>C38*P37</f>
        <v>40611.3537117904</v>
      </c>
      <c r="Q38" s="154">
        <f>C38*Q37</f>
        <v>19650.65502183406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1648.9082969432313</v>
      </c>
      <c r="E39" s="155">
        <f>E37*C39</f>
        <v>5505.676855895197</v>
      </c>
      <c r="F39" s="155">
        <f>C39*F37</f>
        <v>6092.576419213974</v>
      </c>
      <c r="G39" s="155">
        <f>C39*G37</f>
        <v>1117.9039301310042</v>
      </c>
      <c r="H39" s="155">
        <f>C39*H37</f>
        <v>9082.96943231441</v>
      </c>
      <c r="I39" s="155">
        <f>C39*I37</f>
        <v>8300.436681222707</v>
      </c>
      <c r="J39" s="155">
        <f>C39*J37</f>
        <v>2794.759825327511</v>
      </c>
      <c r="K39" s="155">
        <f>C39*K37</f>
        <v>4765.065502183405</v>
      </c>
      <c r="L39" s="155">
        <f>C39*L37</f>
        <v>4164.192139737991</v>
      </c>
      <c r="M39" s="155">
        <f>C39*M37</f>
        <v>4820.960698689956</v>
      </c>
      <c r="N39" s="155">
        <f>C39*N37</f>
        <v>5379.912663755458</v>
      </c>
      <c r="O39" s="155">
        <f>C39*O37</f>
        <v>3898.689956331878</v>
      </c>
      <c r="P39" s="155">
        <f>C39*P37</f>
        <v>4331.877729257642</v>
      </c>
      <c r="Q39" s="155">
        <f>C39*Q37</f>
        <v>2096.069868995633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3864.6288209606987</v>
      </c>
      <c r="E40" s="155">
        <f>C40*E37</f>
        <v>12903.930131004367</v>
      </c>
      <c r="F40" s="155">
        <f>C40*F37</f>
        <v>14279.475982532751</v>
      </c>
      <c r="G40" s="155">
        <f>C40*G37</f>
        <v>2620.0873362445413</v>
      </c>
      <c r="H40" s="155">
        <f>C40*H37</f>
        <v>21288.2096069869</v>
      </c>
      <c r="I40" s="155">
        <f>C40*I37</f>
        <v>19454.14847161572</v>
      </c>
      <c r="J40" s="155">
        <f>C40*J37</f>
        <v>6550.218340611354</v>
      </c>
      <c r="K40" s="155">
        <f>C40*K37</f>
        <v>11168.122270742357</v>
      </c>
      <c r="L40" s="155">
        <f>C40*L37</f>
        <v>9759.825327510916</v>
      </c>
      <c r="M40" s="155">
        <f>C40*M37</f>
        <v>11299.126637554584</v>
      </c>
      <c r="N40" s="155">
        <f>C40*N37</f>
        <v>12609.170305676857</v>
      </c>
      <c r="O40" s="155">
        <f>C40*O37</f>
        <v>9137.554585152839</v>
      </c>
      <c r="P40" s="155">
        <f>C40*P37</f>
        <v>10152.8384279476</v>
      </c>
      <c r="Q40" s="155">
        <f>C40*Q37</f>
        <v>4912.663755458515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10820.960698689956</v>
      </c>
      <c r="E41" s="155">
        <f>C41*E37</f>
        <v>36131.00436681223</v>
      </c>
      <c r="F41" s="155">
        <f>C41*F37</f>
        <v>39982.532751091705</v>
      </c>
      <c r="G41" s="155">
        <f>C41*G37</f>
        <v>7336.244541484716</v>
      </c>
      <c r="H41" s="155">
        <f>C41*H37</f>
        <v>59606.986899563315</v>
      </c>
      <c r="I41" s="155">
        <f>C41*I37</f>
        <v>54471.61572052402</v>
      </c>
      <c r="J41" s="155">
        <f>C41*J37</f>
        <v>18340.61135371179</v>
      </c>
      <c r="K41" s="155">
        <f>C41*K37</f>
        <v>31270.7423580786</v>
      </c>
      <c r="L41" s="155">
        <f>C41*L37</f>
        <v>27327.510917030566</v>
      </c>
      <c r="M41" s="155">
        <f>C41*M37</f>
        <v>31637.554585152837</v>
      </c>
      <c r="N41" s="155">
        <f>C41*N37</f>
        <v>35305.676855895195</v>
      </c>
      <c r="O41" s="155">
        <f>C41*O37</f>
        <v>25585.152838427948</v>
      </c>
      <c r="P41" s="155">
        <f>C41*P37</f>
        <v>28427.94759825328</v>
      </c>
      <c r="Q41" s="155">
        <f>C41*Q37</f>
        <v>13755.458515283843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31793.01310043668</v>
      </c>
      <c r="E42" s="157">
        <f t="shared" si="3"/>
        <v>106156.33187772927</v>
      </c>
      <c r="F42" s="157">
        <f t="shared" si="3"/>
        <v>117472.48908296943</v>
      </c>
      <c r="G42" s="157">
        <f t="shared" si="3"/>
        <v>21554.585152838426</v>
      </c>
      <c r="H42" s="157">
        <f t="shared" si="3"/>
        <v>175131.00436681224</v>
      </c>
      <c r="I42" s="157">
        <f t="shared" si="3"/>
        <v>160042.79475982534</v>
      </c>
      <c r="J42" s="157">
        <f t="shared" si="3"/>
        <v>53886.462882096064</v>
      </c>
      <c r="K42" s="157">
        <f t="shared" si="3"/>
        <v>91876.41921397379</v>
      </c>
      <c r="L42" s="157">
        <f t="shared" si="3"/>
        <v>80290.82969432314</v>
      </c>
      <c r="M42" s="157">
        <f t="shared" si="3"/>
        <v>92954.14847161571</v>
      </c>
      <c r="N42" s="157">
        <f t="shared" si="3"/>
        <v>103731.44104803493</v>
      </c>
      <c r="O42" s="157">
        <f t="shared" si="3"/>
        <v>75171.61572052402</v>
      </c>
      <c r="P42" s="157">
        <f t="shared" si="3"/>
        <v>83524.01746724892</v>
      </c>
      <c r="Q42" s="157">
        <f t="shared" si="3"/>
        <v>40414.84716157205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108</v>
      </c>
      <c r="H44" s="171" t="s">
        <v>107</v>
      </c>
      <c r="I44" s="171" t="s">
        <v>106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31793.01310043668</v>
      </c>
      <c r="H46" s="173">
        <f aca="true" t="shared" si="5" ref="H46:H59">G46/E46</f>
        <v>203.80136602844027</v>
      </c>
      <c r="I46" s="182">
        <f>G46/C46</f>
        <v>269.43231441048033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106156.33187772927</v>
      </c>
      <c r="H47" s="173">
        <f>G47/E47</f>
        <v>239.09083756245332</v>
      </c>
      <c r="I47" s="182">
        <f>G47/C47</f>
        <v>269.4323144104804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117472.48908296943</v>
      </c>
      <c r="H48" s="173">
        <f t="shared" si="5"/>
        <v>162.92994324961086</v>
      </c>
      <c r="I48" s="182">
        <f>G48/C48</f>
        <v>269.43231441048033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21554.585152838426</v>
      </c>
      <c r="H49" s="173">
        <f t="shared" si="5"/>
        <v>24.056456643792888</v>
      </c>
      <c r="I49" s="182">
        <f>G49/C49</f>
        <v>269.43231441048033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175131.00436681224</v>
      </c>
      <c r="H50" s="173">
        <f t="shared" si="5"/>
        <v>168.39519650655023</v>
      </c>
      <c r="I50" s="182">
        <f>G50/C50</f>
        <v>269.4323144104804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160042.79475982534</v>
      </c>
      <c r="H51" s="173">
        <f t="shared" si="5"/>
        <v>85.31065818754016</v>
      </c>
      <c r="I51" s="182">
        <f aca="true" t="shared" si="6" ref="I51:I59">G52/C52</f>
        <v>269.43231441048033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53886.462882096064</v>
      </c>
      <c r="H52" s="173">
        <f t="shared" si="5"/>
        <v>179.6215429403202</v>
      </c>
      <c r="I52" s="182">
        <f t="shared" si="6"/>
        <v>269.43231441048033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91876.41921397379</v>
      </c>
      <c r="H53" s="173">
        <f t="shared" si="5"/>
        <v>200.6035354016895</v>
      </c>
      <c r="I53" s="182">
        <f t="shared" si="6"/>
        <v>269.43231441048033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80290.82969432314</v>
      </c>
      <c r="H54" s="173">
        <f t="shared" si="5"/>
        <v>152.06596533015747</v>
      </c>
      <c r="I54" s="182">
        <f t="shared" si="6"/>
        <v>269.43231441048033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92954.14847161571</v>
      </c>
      <c r="H55" s="173">
        <f t="shared" si="5"/>
        <v>103.8593837671684</v>
      </c>
      <c r="I55" s="182">
        <f t="shared" si="6"/>
        <v>269.43231441048033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103731.44104803493</v>
      </c>
      <c r="H56" s="173">
        <f t="shared" si="5"/>
        <v>150.7724433837717</v>
      </c>
      <c r="I56" s="182">
        <f t="shared" si="6"/>
        <v>269.43231441048033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75171.61572052402</v>
      </c>
      <c r="H57" s="173">
        <f t="shared" si="5"/>
        <v>163.06207314647293</v>
      </c>
      <c r="I57" s="182">
        <f t="shared" si="6"/>
        <v>269.4323144104804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83524.01746724892</v>
      </c>
      <c r="H58" s="173">
        <f t="shared" si="5"/>
        <v>168.7353888227251</v>
      </c>
      <c r="I58" s="182">
        <f t="shared" si="6"/>
        <v>269.43231441048033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40414.84716157205</v>
      </c>
      <c r="H59" s="178">
        <f t="shared" si="5"/>
        <v>202.07423580786025</v>
      </c>
      <c r="I59" s="183">
        <f t="shared" si="6"/>
        <v>269.43231441048033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1234000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selection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53" t="s">
        <v>51</v>
      </c>
      <c r="C34" s="254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65" t="s">
        <v>91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89</v>
      </c>
      <c r="C36" s="65">
        <f>SUM(D36:Q36)</f>
        <v>10680</v>
      </c>
      <c r="D36" s="150">
        <v>248</v>
      </c>
      <c r="E36" s="150">
        <v>1070</v>
      </c>
      <c r="F36" s="150">
        <v>1021</v>
      </c>
      <c r="G36" s="150">
        <v>259</v>
      </c>
      <c r="H36" s="150">
        <v>1469</v>
      </c>
      <c r="I36" s="150">
        <v>1280</v>
      </c>
      <c r="J36" s="150">
        <v>507</v>
      </c>
      <c r="K36" s="150">
        <v>805</v>
      </c>
      <c r="L36" s="150">
        <v>717</v>
      </c>
      <c r="M36" s="64">
        <v>892</v>
      </c>
      <c r="N36" s="64">
        <v>678</v>
      </c>
      <c r="O36" s="64">
        <v>593</v>
      </c>
      <c r="P36" s="64">
        <v>795</v>
      </c>
      <c r="Q36" s="109">
        <v>346</v>
      </c>
    </row>
    <row r="37" spans="2:17" ht="15.75" customHeight="1">
      <c r="B37" s="148" t="s">
        <v>52</v>
      </c>
      <c r="C37" s="149" t="s">
        <v>90</v>
      </c>
      <c r="D37" s="151">
        <f>D36/C36</f>
        <v>0.023220973782771534</v>
      </c>
      <c r="E37" s="151">
        <f>E36/C36</f>
        <v>0.10018726591760299</v>
      </c>
      <c r="F37" s="151">
        <f>F36/C36</f>
        <v>0.0955992509363296</v>
      </c>
      <c r="G37" s="151">
        <f>G36/C36</f>
        <v>0.024250936329588014</v>
      </c>
      <c r="H37" s="151">
        <f>H36/C36</f>
        <v>0.13754681647940076</v>
      </c>
      <c r="I37" s="151">
        <f>I36/C36</f>
        <v>0.1198501872659176</v>
      </c>
      <c r="J37" s="151">
        <f>J36/C36</f>
        <v>0.04747191011235955</v>
      </c>
      <c r="K37" s="151">
        <f>K36/C36</f>
        <v>0.075374531835206</v>
      </c>
      <c r="L37" s="151">
        <f>L36/C36</f>
        <v>0.06713483146067416</v>
      </c>
      <c r="M37" s="151">
        <f>M36/C36</f>
        <v>0.08352059925093633</v>
      </c>
      <c r="N37" s="151">
        <f>N36/C36</f>
        <v>0.06348314606741573</v>
      </c>
      <c r="O37" s="151">
        <f>O36/C36</f>
        <v>0.05552434456928839</v>
      </c>
      <c r="P37" s="151">
        <f>P36/C36</f>
        <v>0.07443820224719101</v>
      </c>
      <c r="Q37" s="151">
        <f>Q36/C36</f>
        <v>0.03239700374531835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13932.58426966292</v>
      </c>
      <c r="E38" s="154">
        <f>C38*E37</f>
        <v>60112.35955056179</v>
      </c>
      <c r="F38" s="154">
        <f>C38*F37</f>
        <v>57359.550561797754</v>
      </c>
      <c r="G38" s="154">
        <f>C38*G37</f>
        <v>14550.561797752809</v>
      </c>
      <c r="H38" s="154">
        <f>C38*H37</f>
        <v>82528.08988764045</v>
      </c>
      <c r="I38" s="154">
        <f>C38*I37</f>
        <v>71910.11235955056</v>
      </c>
      <c r="J38" s="154">
        <f>C38*J37</f>
        <v>28483.14606741573</v>
      </c>
      <c r="K38" s="154">
        <f>C38*K37</f>
        <v>45224.7191011236</v>
      </c>
      <c r="L38" s="154">
        <f>C38*L37</f>
        <v>40280.89887640449</v>
      </c>
      <c r="M38" s="154">
        <f>C38*M37</f>
        <v>50112.3595505618</v>
      </c>
      <c r="N38" s="154">
        <f>C38*N37</f>
        <v>38089.88764044944</v>
      </c>
      <c r="O38" s="154">
        <f>C38*O37</f>
        <v>33314.606741573036</v>
      </c>
      <c r="P38" s="154">
        <f>C38*P37</f>
        <v>44662.92134831461</v>
      </c>
      <c r="Q38" s="154">
        <f>C38*Q37</f>
        <v>19438.20224719101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1486.1423220973782</v>
      </c>
      <c r="E39" s="155">
        <f>E37*C39</f>
        <v>6411.985018726591</v>
      </c>
      <c r="F39" s="155">
        <f>C39*F37</f>
        <v>6118.352059925094</v>
      </c>
      <c r="G39" s="155">
        <f>C39*G37</f>
        <v>1552.059925093633</v>
      </c>
      <c r="H39" s="155">
        <f>C39*H37</f>
        <v>8802.996254681648</v>
      </c>
      <c r="I39" s="155">
        <f>C39*I37</f>
        <v>7670.411985018726</v>
      </c>
      <c r="J39" s="155">
        <f>C39*J37</f>
        <v>3038.2022471910113</v>
      </c>
      <c r="K39" s="155">
        <f>C39*K37</f>
        <v>4823.970037453184</v>
      </c>
      <c r="L39" s="155">
        <f>C39*L37</f>
        <v>4296.6292134831465</v>
      </c>
      <c r="M39" s="155">
        <f>C39*M37</f>
        <v>5345.318352059925</v>
      </c>
      <c r="N39" s="155">
        <f>C39*N37</f>
        <v>4062.921348314607</v>
      </c>
      <c r="O39" s="155">
        <f>C39*O37</f>
        <v>3553.558052434457</v>
      </c>
      <c r="P39" s="155">
        <f>C39*P37</f>
        <v>4764.044943820225</v>
      </c>
      <c r="Q39" s="155">
        <f>C39*Q37</f>
        <v>2073.4082397003745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3483.14606741573</v>
      </c>
      <c r="E40" s="155">
        <f>C40*E37</f>
        <v>15028.089887640448</v>
      </c>
      <c r="F40" s="155">
        <f>C40*F37</f>
        <v>14339.887640449439</v>
      </c>
      <c r="G40" s="155">
        <f>C40*G37</f>
        <v>3637.6404494382023</v>
      </c>
      <c r="H40" s="155">
        <f>C40*H37</f>
        <v>20632.022471910113</v>
      </c>
      <c r="I40" s="155">
        <f>C40*I37</f>
        <v>17977.52808988764</v>
      </c>
      <c r="J40" s="155">
        <f>C40*J37</f>
        <v>7120.786516853933</v>
      </c>
      <c r="K40" s="155">
        <f>C40*K37</f>
        <v>11306.1797752809</v>
      </c>
      <c r="L40" s="155">
        <f>C40*L37</f>
        <v>10070.224719101123</v>
      </c>
      <c r="M40" s="155">
        <f>C40*M37</f>
        <v>12528.08988764045</v>
      </c>
      <c r="N40" s="155">
        <f>C40*N37</f>
        <v>9522.47191011236</v>
      </c>
      <c r="O40" s="155">
        <f>C40*O37</f>
        <v>8328.651685393259</v>
      </c>
      <c r="P40" s="155">
        <f>C40*P37</f>
        <v>11165.730337078652</v>
      </c>
      <c r="Q40" s="155">
        <f>C40*Q37</f>
        <v>4859.550561797752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9752.808988764044</v>
      </c>
      <c r="E41" s="155">
        <f>C41*E37</f>
        <v>42078.651685393255</v>
      </c>
      <c r="F41" s="155">
        <f>C41*F37</f>
        <v>40151.68539325843</v>
      </c>
      <c r="G41" s="155">
        <f>C41*G37</f>
        <v>10185.393258426966</v>
      </c>
      <c r="H41" s="155">
        <f>C41*H37</f>
        <v>57769.66292134832</v>
      </c>
      <c r="I41" s="155">
        <f>C41*I37</f>
        <v>50337.07865168539</v>
      </c>
      <c r="J41" s="155">
        <f>C41*J37</f>
        <v>19938.202247191013</v>
      </c>
      <c r="K41" s="155">
        <f>C41*K37</f>
        <v>31657.303370786518</v>
      </c>
      <c r="L41" s="155">
        <f>C41*L37</f>
        <v>28196.629213483146</v>
      </c>
      <c r="M41" s="155">
        <f>C41*M37</f>
        <v>35078.651685393255</v>
      </c>
      <c r="N41" s="155">
        <f>C41*N37</f>
        <v>26662.921348314605</v>
      </c>
      <c r="O41" s="155">
        <f>C41*O37</f>
        <v>23320.224719101123</v>
      </c>
      <c r="P41" s="155">
        <f>C41*P37</f>
        <v>31264.044943820227</v>
      </c>
      <c r="Q41" s="155">
        <f>C41*Q37</f>
        <v>13606.741573033707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28654.681647940073</v>
      </c>
      <c r="E42" s="157">
        <f t="shared" si="3"/>
        <v>123631.08614232209</v>
      </c>
      <c r="F42" s="157">
        <f t="shared" si="3"/>
        <v>117969.47565543072</v>
      </c>
      <c r="G42" s="157">
        <f t="shared" si="3"/>
        <v>29925.65543071161</v>
      </c>
      <c r="H42" s="157">
        <f t="shared" si="3"/>
        <v>169732.77153558054</v>
      </c>
      <c r="I42" s="157">
        <f t="shared" si="3"/>
        <v>147895.13108614233</v>
      </c>
      <c r="J42" s="157">
        <f t="shared" si="3"/>
        <v>58580.33707865169</v>
      </c>
      <c r="K42" s="157">
        <f t="shared" si="3"/>
        <v>93012.1722846442</v>
      </c>
      <c r="L42" s="157">
        <f t="shared" si="3"/>
        <v>82844.38202247191</v>
      </c>
      <c r="M42" s="157">
        <f t="shared" si="3"/>
        <v>103064.41947565544</v>
      </c>
      <c r="N42" s="157">
        <f t="shared" si="3"/>
        <v>78338.202247191</v>
      </c>
      <c r="O42" s="157">
        <f t="shared" si="3"/>
        <v>68517.04119850187</v>
      </c>
      <c r="P42" s="157">
        <f t="shared" si="3"/>
        <v>91856.74157303371</v>
      </c>
      <c r="Q42" s="157">
        <f t="shared" si="3"/>
        <v>39977.902621722846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96</v>
      </c>
      <c r="H44" s="171" t="s">
        <v>99</v>
      </c>
      <c r="I44" s="171" t="s">
        <v>98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28654.681647940073</v>
      </c>
      <c r="H46" s="173">
        <f aca="true" t="shared" si="5" ref="H46:H59">G46/E46</f>
        <v>183.68385671756457</v>
      </c>
      <c r="I46" s="182">
        <f aca="true" t="shared" si="6" ref="I46:I55">G46/C46</f>
        <v>242.83628515203452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123631.08614232209</v>
      </c>
      <c r="H47" s="173">
        <f>G47/E47</f>
        <v>278.44839221243717</v>
      </c>
      <c r="I47" s="182">
        <f t="shared" si="6"/>
        <v>313.7844825947261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117969.47565543072</v>
      </c>
      <c r="H48" s="173">
        <f t="shared" si="5"/>
        <v>163.61924501446703</v>
      </c>
      <c r="I48" s="182">
        <f t="shared" si="6"/>
        <v>270.57219187025396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29925.65543071161</v>
      </c>
      <c r="H49" s="173">
        <f t="shared" si="5"/>
        <v>33.399169007490634</v>
      </c>
      <c r="I49" s="182">
        <f t="shared" si="6"/>
        <v>374.0706928838951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169732.77153558054</v>
      </c>
      <c r="H50" s="173">
        <f t="shared" si="5"/>
        <v>163.20458801498128</v>
      </c>
      <c r="I50" s="182">
        <f t="shared" si="6"/>
        <v>261.1273408239701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147895.13108614233</v>
      </c>
      <c r="H51" s="173">
        <f t="shared" si="5"/>
        <v>78.83535772182427</v>
      </c>
      <c r="I51" s="182">
        <f t="shared" si="6"/>
        <v>248.98170216522277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58580.33707865169</v>
      </c>
      <c r="H52" s="173">
        <f t="shared" si="5"/>
        <v>195.2677902621723</v>
      </c>
      <c r="I52" s="182">
        <f t="shared" si="6"/>
        <v>292.90168539325845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93012.1722846442</v>
      </c>
      <c r="H53" s="173">
        <f t="shared" si="5"/>
        <v>203.08334559965982</v>
      </c>
      <c r="I53" s="182">
        <f t="shared" si="6"/>
        <v>272.7629685766692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82844.38202247191</v>
      </c>
      <c r="H54" s="173">
        <f t="shared" si="5"/>
        <v>156.90223867892408</v>
      </c>
      <c r="I54" s="182">
        <f t="shared" si="6"/>
        <v>278.0012819546037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103064.41947565544</v>
      </c>
      <c r="H55" s="173">
        <f t="shared" si="5"/>
        <v>115.155775950453</v>
      </c>
      <c r="I55" s="182">
        <f t="shared" si="6"/>
        <v>298.737447755523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78338.202247191</v>
      </c>
      <c r="H56" s="173">
        <f t="shared" si="5"/>
        <v>113.86366605696367</v>
      </c>
      <c r="I56" s="182">
        <f>G58/C58</f>
        <v>296.3120695904313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68517.04119850187</v>
      </c>
      <c r="H57" s="173">
        <f t="shared" si="5"/>
        <v>148.62698741540535</v>
      </c>
      <c r="I57" s="182">
        <f>G57/C57</f>
        <v>245.58079282617157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91856.74157303371</v>
      </c>
      <c r="H58" s="173">
        <f t="shared" si="5"/>
        <v>185.5691748950176</v>
      </c>
      <c r="I58" s="182">
        <f>G58/C58</f>
        <v>296.3120695904313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39977.902621722846</v>
      </c>
      <c r="H59" s="178">
        <f t="shared" si="5"/>
        <v>199.88951310861424</v>
      </c>
      <c r="I59" s="183">
        <f>G59/C59</f>
        <v>266.51935081148565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1233999.9999999998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5" zoomScaleNormal="85" zoomScalePageLayoutView="0" workbookViewId="0" topLeftCell="A18">
      <pane xSplit="3" topLeftCell="E1" activePane="topRight" state="frozen"/>
      <selection pane="topLeft" activeCell="A1" sqref="A1"/>
      <selection pane="topRight" activeCell="K41" sqref="K41"/>
    </sheetView>
  </sheetViews>
  <sheetFormatPr defaultColWidth="9.140625" defaultRowHeight="15.75" customHeight="1"/>
  <cols>
    <col min="2" max="2" width="40.00390625" style="0" customWidth="1"/>
    <col min="3" max="3" width="27.140625" style="0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109</v>
      </c>
      <c r="E3" s="128" t="s">
        <v>110</v>
      </c>
      <c r="F3" s="221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>
      <c r="A4">
        <v>1</v>
      </c>
      <c r="B4" s="190" t="s">
        <v>9</v>
      </c>
      <c r="C4" s="198" t="s">
        <v>49</v>
      </c>
      <c r="D4" s="193">
        <v>50</v>
      </c>
      <c r="E4" s="219">
        <v>28</v>
      </c>
      <c r="F4" s="223">
        <v>16</v>
      </c>
      <c r="G4" s="194">
        <v>20</v>
      </c>
      <c r="H4" s="195">
        <v>35</v>
      </c>
      <c r="I4" s="196">
        <f aca="true" t="shared" si="0" ref="I4:I12">((D4+E4)/100*G4)</f>
        <v>15.600000000000001</v>
      </c>
      <c r="J4" s="197">
        <f aca="true" t="shared" si="1" ref="J4:J12">I4*H4</f>
        <v>546</v>
      </c>
      <c r="K4" s="199">
        <f>J4*8</f>
        <v>4368</v>
      </c>
    </row>
    <row r="5" spans="1:11" ht="15.75" customHeight="1">
      <c r="A5">
        <v>2</v>
      </c>
      <c r="B5" s="191" t="s">
        <v>10</v>
      </c>
      <c r="C5" s="198" t="s">
        <v>49</v>
      </c>
      <c r="D5" s="51">
        <v>50</v>
      </c>
      <c r="E5" s="220">
        <v>28</v>
      </c>
      <c r="F5" s="68">
        <v>16</v>
      </c>
      <c r="G5" s="59">
        <v>20</v>
      </c>
      <c r="H5" s="69">
        <v>35</v>
      </c>
      <c r="I5" s="70">
        <f>((D5+E5)/100*G5)</f>
        <v>15.600000000000001</v>
      </c>
      <c r="J5" s="71">
        <f t="shared" si="1"/>
        <v>546</v>
      </c>
      <c r="K5" s="199">
        <f>J5*8</f>
        <v>4368</v>
      </c>
    </row>
    <row r="6" spans="1:11" ht="15.75" customHeight="1">
      <c r="A6">
        <v>3</v>
      </c>
      <c r="B6" s="191" t="s">
        <v>11</v>
      </c>
      <c r="C6" s="198" t="s">
        <v>49</v>
      </c>
      <c r="D6" s="51">
        <v>50</v>
      </c>
      <c r="E6" s="220">
        <v>28</v>
      </c>
      <c r="F6" s="68">
        <v>16</v>
      </c>
      <c r="G6" s="59">
        <v>20</v>
      </c>
      <c r="H6" s="69">
        <v>35</v>
      </c>
      <c r="I6" s="70">
        <f t="shared" si="0"/>
        <v>15.600000000000001</v>
      </c>
      <c r="J6" s="71">
        <f>I6*H6</f>
        <v>546</v>
      </c>
      <c r="K6" s="199">
        <f aca="true" t="shared" si="2" ref="K6:K12">J6*8</f>
        <v>4368</v>
      </c>
    </row>
    <row r="7" spans="1:11" ht="15.75" customHeight="1">
      <c r="A7">
        <v>4</v>
      </c>
      <c r="B7" s="191" t="s">
        <v>12</v>
      </c>
      <c r="C7" s="198" t="s">
        <v>49</v>
      </c>
      <c r="D7" s="51">
        <v>50</v>
      </c>
      <c r="E7" s="220">
        <v>28</v>
      </c>
      <c r="F7" s="68">
        <v>16</v>
      </c>
      <c r="G7" s="59">
        <v>20</v>
      </c>
      <c r="H7" s="69">
        <v>35</v>
      </c>
      <c r="I7" s="70">
        <f t="shared" si="0"/>
        <v>15.600000000000001</v>
      </c>
      <c r="J7" s="71">
        <f t="shared" si="1"/>
        <v>546</v>
      </c>
      <c r="K7" s="199">
        <f t="shared" si="2"/>
        <v>4368</v>
      </c>
    </row>
    <row r="8" spans="1:11" ht="15.75" customHeight="1">
      <c r="A8">
        <v>5</v>
      </c>
      <c r="B8" s="191" t="s">
        <v>16</v>
      </c>
      <c r="C8" s="198" t="s">
        <v>49</v>
      </c>
      <c r="D8" s="51">
        <v>50</v>
      </c>
      <c r="E8" s="220">
        <v>28</v>
      </c>
      <c r="F8" s="68">
        <v>16</v>
      </c>
      <c r="G8" s="59">
        <v>20</v>
      </c>
      <c r="H8" s="69">
        <v>35</v>
      </c>
      <c r="I8" s="70">
        <f t="shared" si="0"/>
        <v>15.600000000000001</v>
      </c>
      <c r="J8" s="71">
        <f t="shared" si="1"/>
        <v>546</v>
      </c>
      <c r="K8" s="199">
        <f t="shared" si="2"/>
        <v>4368</v>
      </c>
    </row>
    <row r="9" spans="1:11" ht="15.75" customHeight="1">
      <c r="A9">
        <v>6</v>
      </c>
      <c r="B9" s="191" t="s">
        <v>18</v>
      </c>
      <c r="C9" s="198" t="s">
        <v>49</v>
      </c>
      <c r="D9" s="51">
        <v>50</v>
      </c>
      <c r="E9" s="220">
        <v>28</v>
      </c>
      <c r="F9" s="68">
        <v>16</v>
      </c>
      <c r="G9" s="59">
        <v>20</v>
      </c>
      <c r="H9" s="69">
        <v>35</v>
      </c>
      <c r="I9" s="70">
        <f t="shared" si="0"/>
        <v>15.600000000000001</v>
      </c>
      <c r="J9" s="71">
        <f t="shared" si="1"/>
        <v>546</v>
      </c>
      <c r="K9" s="199">
        <f t="shared" si="2"/>
        <v>4368</v>
      </c>
    </row>
    <row r="10" spans="1:11" ht="15.75" customHeight="1">
      <c r="A10">
        <v>7</v>
      </c>
      <c r="B10" s="191" t="s">
        <v>21</v>
      </c>
      <c r="C10" s="198" t="s">
        <v>49</v>
      </c>
      <c r="D10" s="51">
        <v>50</v>
      </c>
      <c r="E10" s="220">
        <v>28</v>
      </c>
      <c r="F10" s="68">
        <v>16</v>
      </c>
      <c r="G10" s="59">
        <v>20</v>
      </c>
      <c r="H10" s="69">
        <v>35</v>
      </c>
      <c r="I10" s="70">
        <f t="shared" si="0"/>
        <v>15.600000000000001</v>
      </c>
      <c r="J10" s="71">
        <f t="shared" si="1"/>
        <v>546</v>
      </c>
      <c r="K10" s="199">
        <f t="shared" si="2"/>
        <v>4368</v>
      </c>
    </row>
    <row r="11" spans="1:11" ht="15.75" customHeight="1">
      <c r="A11">
        <v>8</v>
      </c>
      <c r="B11" s="191" t="s">
        <v>23</v>
      </c>
      <c r="C11" s="198" t="s">
        <v>49</v>
      </c>
      <c r="D11" s="51">
        <v>50</v>
      </c>
      <c r="E11" s="220">
        <v>28</v>
      </c>
      <c r="F11" s="68">
        <v>16</v>
      </c>
      <c r="G11" s="59">
        <v>20</v>
      </c>
      <c r="H11" s="69">
        <v>35</v>
      </c>
      <c r="I11" s="70">
        <f t="shared" si="0"/>
        <v>15.600000000000001</v>
      </c>
      <c r="J11" s="71">
        <f t="shared" si="1"/>
        <v>546</v>
      </c>
      <c r="K11" s="199">
        <f t="shared" si="2"/>
        <v>4368</v>
      </c>
    </row>
    <row r="12" spans="1:11" ht="15.75" customHeight="1">
      <c r="A12">
        <v>9</v>
      </c>
      <c r="B12" s="191" t="s">
        <v>33</v>
      </c>
      <c r="C12" s="198" t="s">
        <v>49</v>
      </c>
      <c r="D12" s="51">
        <v>50</v>
      </c>
      <c r="E12" s="220">
        <v>28</v>
      </c>
      <c r="F12" s="68">
        <v>16</v>
      </c>
      <c r="G12" s="59">
        <v>20</v>
      </c>
      <c r="H12" s="69">
        <v>35</v>
      </c>
      <c r="I12" s="70">
        <f t="shared" si="0"/>
        <v>15.600000000000001</v>
      </c>
      <c r="J12" s="71">
        <f t="shared" si="1"/>
        <v>546</v>
      </c>
      <c r="K12" s="199">
        <f t="shared" si="2"/>
        <v>4368</v>
      </c>
    </row>
    <row r="13" spans="1:11" ht="15.75" customHeight="1">
      <c r="A13">
        <v>10</v>
      </c>
      <c r="B13" s="191" t="s">
        <v>13</v>
      </c>
      <c r="C13" s="198" t="s">
        <v>49</v>
      </c>
      <c r="D13" s="51">
        <v>50</v>
      </c>
      <c r="E13" s="220">
        <v>28</v>
      </c>
      <c r="F13" s="68">
        <v>16</v>
      </c>
      <c r="G13" s="59">
        <v>20</v>
      </c>
      <c r="H13" s="69">
        <v>35</v>
      </c>
      <c r="I13" s="70">
        <f>((D13+E13)/100*G13)</f>
        <v>15.600000000000001</v>
      </c>
      <c r="J13" s="71">
        <f>I13*H13</f>
        <v>546</v>
      </c>
      <c r="K13" s="199">
        <f>J13*8</f>
        <v>4368</v>
      </c>
    </row>
    <row r="14" spans="1:11" ht="15.75" customHeight="1">
      <c r="A14">
        <v>11</v>
      </c>
      <c r="B14" s="191" t="s">
        <v>17</v>
      </c>
      <c r="C14" s="198" t="s">
        <v>49</v>
      </c>
      <c r="D14" s="51">
        <v>50</v>
      </c>
      <c r="E14" s="220">
        <v>28</v>
      </c>
      <c r="F14" s="68">
        <v>16</v>
      </c>
      <c r="G14" s="59">
        <v>20</v>
      </c>
      <c r="H14" s="69">
        <v>35</v>
      </c>
      <c r="I14" s="70">
        <f>((D14+E14)/100*G14)</f>
        <v>15.600000000000001</v>
      </c>
      <c r="J14" s="71">
        <f>I14*H14</f>
        <v>546</v>
      </c>
      <c r="K14" s="199">
        <f>J14*8</f>
        <v>4368</v>
      </c>
    </row>
    <row r="15" spans="1:11" ht="15.75" customHeight="1" thickBot="1">
      <c r="A15">
        <v>12</v>
      </c>
      <c r="B15" s="191" t="s">
        <v>25</v>
      </c>
      <c r="C15" s="198" t="s">
        <v>49</v>
      </c>
      <c r="D15" s="51">
        <v>50</v>
      </c>
      <c r="E15" s="220">
        <v>28</v>
      </c>
      <c r="F15" s="68">
        <v>16</v>
      </c>
      <c r="G15" s="59">
        <v>20</v>
      </c>
      <c r="H15" s="69">
        <v>35</v>
      </c>
      <c r="I15" s="70">
        <f>((D15+E15)/100*G15)</f>
        <v>15.600000000000001</v>
      </c>
      <c r="J15" s="71">
        <f>I15*H15</f>
        <v>546</v>
      </c>
      <c r="K15" s="199">
        <f>J15*8</f>
        <v>4368</v>
      </c>
    </row>
    <row r="16" spans="2:11" ht="15.75" customHeight="1" thickBot="1">
      <c r="B16" s="192" t="s">
        <v>26</v>
      </c>
      <c r="C16" s="200"/>
      <c r="D16" s="201">
        <f>SUM(D4:D15)</f>
        <v>600</v>
      </c>
      <c r="E16" s="201">
        <f>SUM(E4:E15)</f>
        <v>336</v>
      </c>
      <c r="F16" s="222">
        <f>SUM(F4:F15)</f>
        <v>192</v>
      </c>
      <c r="G16" s="201"/>
      <c r="H16" s="202"/>
      <c r="I16" s="203"/>
      <c r="J16" s="204">
        <f>SUM(J4:J15)</f>
        <v>6552</v>
      </c>
      <c r="K16" s="205">
        <f>SUM(K4:K15)</f>
        <v>52416</v>
      </c>
    </row>
    <row r="18" ht="15.75" customHeight="1" thickBot="1"/>
    <row r="19" spans="2:8" ht="15.75" customHeight="1">
      <c r="B19" s="208" t="s">
        <v>42</v>
      </c>
      <c r="C19" s="209" t="s">
        <v>75</v>
      </c>
      <c r="D19" s="210" t="s">
        <v>76</v>
      </c>
      <c r="G19"/>
      <c r="H19"/>
    </row>
    <row r="20" spans="2:8" ht="15.75" customHeight="1">
      <c r="B20" s="211" t="s">
        <v>73</v>
      </c>
      <c r="C20" s="135">
        <v>52500</v>
      </c>
      <c r="D20" s="199">
        <f>C20*12</f>
        <v>630000</v>
      </c>
      <c r="E20" t="s">
        <v>112</v>
      </c>
      <c r="G20"/>
      <c r="H20"/>
    </row>
    <row r="21" spans="2:8" ht="15.75" customHeight="1">
      <c r="B21" s="211" t="s">
        <v>101</v>
      </c>
      <c r="C21" s="135">
        <v>20000</v>
      </c>
      <c r="D21" s="199">
        <f>C21*12</f>
        <v>240000</v>
      </c>
      <c r="E21" t="s">
        <v>113</v>
      </c>
      <c r="G21"/>
      <c r="H21"/>
    </row>
    <row r="22" spans="2:8" ht="15.75" customHeight="1">
      <c r="B22" s="211" t="s">
        <v>74</v>
      </c>
      <c r="C22" s="135">
        <v>10000</v>
      </c>
      <c r="D22" s="199">
        <f>C22*12</f>
        <v>120000</v>
      </c>
      <c r="E22" t="s">
        <v>103</v>
      </c>
      <c r="G22"/>
      <c r="H22"/>
    </row>
    <row r="23" spans="2:8" ht="15.75" customHeight="1">
      <c r="B23" s="211" t="s">
        <v>79</v>
      </c>
      <c r="C23" s="119">
        <v>5000</v>
      </c>
      <c r="D23" s="199">
        <f>C23*12</f>
        <v>60000</v>
      </c>
      <c r="G23"/>
      <c r="H23"/>
    </row>
    <row r="24" spans="2:8" ht="15.75" customHeight="1">
      <c r="B24" s="211" t="s">
        <v>77</v>
      </c>
      <c r="C24" s="135">
        <v>10000</v>
      </c>
      <c r="D24" s="199">
        <f>C24*8</f>
        <v>80000</v>
      </c>
      <c r="G24"/>
      <c r="H24"/>
    </row>
    <row r="25" spans="2:8" ht="15.75" customHeight="1">
      <c r="B25" s="211" t="s">
        <v>82</v>
      </c>
      <c r="C25" s="119">
        <v>18500</v>
      </c>
      <c r="D25" s="199">
        <f>C25*12</f>
        <v>222000</v>
      </c>
      <c r="G25"/>
      <c r="H25" s="207"/>
    </row>
    <row r="26" spans="2:8" ht="15.75" customHeight="1" thickBot="1">
      <c r="B26" s="212" t="s">
        <v>78</v>
      </c>
      <c r="C26" s="138">
        <v>3835</v>
      </c>
      <c r="D26" s="213">
        <v>552200</v>
      </c>
      <c r="G26"/>
      <c r="H26"/>
    </row>
    <row r="27" spans="2:8" ht="38.25">
      <c r="B27" s="214" t="s">
        <v>111</v>
      </c>
      <c r="C27" s="146">
        <f>SUM(C20:C26)</f>
        <v>119835</v>
      </c>
      <c r="D27" s="215">
        <f>SUM(D20:D26)</f>
        <v>1904200</v>
      </c>
      <c r="G27"/>
      <c r="H27"/>
    </row>
    <row r="28" spans="2:8" ht="27" customHeight="1" hidden="1" thickBot="1">
      <c r="B28" s="216" t="s">
        <v>81</v>
      </c>
      <c r="C28" s="217">
        <f>C27/13</f>
        <v>9218.076923076924</v>
      </c>
      <c r="D28" s="218">
        <f>D27/13</f>
        <v>146476.92307692306</v>
      </c>
      <c r="G28"/>
      <c r="H28"/>
    </row>
    <row r="29" spans="2:8" ht="12.75">
      <c r="B29" s="139"/>
      <c r="C29" s="140"/>
      <c r="D29" s="140"/>
      <c r="G29"/>
      <c r="H29"/>
    </row>
    <row r="31" spans="2:15" ht="15.75" customHeight="1">
      <c r="B31" s="253" t="s">
        <v>51</v>
      </c>
      <c r="C31" s="254"/>
      <c r="D31" s="152" t="s">
        <v>9</v>
      </c>
      <c r="E31" s="152" t="s">
        <v>10</v>
      </c>
      <c r="F31" s="152" t="s">
        <v>11</v>
      </c>
      <c r="G31" s="152" t="s">
        <v>12</v>
      </c>
      <c r="H31" s="152" t="s">
        <v>16</v>
      </c>
      <c r="I31" s="152" t="s">
        <v>18</v>
      </c>
      <c r="J31" s="152" t="s">
        <v>21</v>
      </c>
      <c r="K31" s="152" t="s">
        <v>23</v>
      </c>
      <c r="L31" s="152" t="s">
        <v>33</v>
      </c>
      <c r="M31" s="152" t="s">
        <v>13</v>
      </c>
      <c r="N31" s="152" t="s">
        <v>25</v>
      </c>
      <c r="O31" s="152" t="s">
        <v>17</v>
      </c>
    </row>
    <row r="32" spans="2:15" ht="51">
      <c r="B32" s="62"/>
      <c r="C32" s="242" t="s">
        <v>115</v>
      </c>
      <c r="D32" s="242" t="s">
        <v>116</v>
      </c>
      <c r="E32" s="242" t="s">
        <v>116</v>
      </c>
      <c r="F32" s="242" t="s">
        <v>116</v>
      </c>
      <c r="G32" s="242" t="s">
        <v>116</v>
      </c>
      <c r="H32" s="242" t="s">
        <v>116</v>
      </c>
      <c r="I32" s="242" t="s">
        <v>116</v>
      </c>
      <c r="J32" s="242" t="s">
        <v>116</v>
      </c>
      <c r="K32" s="242" t="s">
        <v>116</v>
      </c>
      <c r="L32" s="242" t="s">
        <v>116</v>
      </c>
      <c r="M32" s="242" t="s">
        <v>116</v>
      </c>
      <c r="N32" s="242" t="s">
        <v>116</v>
      </c>
      <c r="O32" s="242" t="s">
        <v>116</v>
      </c>
    </row>
    <row r="33" spans="2:15" ht="12.75">
      <c r="B33" s="62" t="s">
        <v>105</v>
      </c>
      <c r="C33" s="65">
        <v>2730</v>
      </c>
      <c r="D33" s="63">
        <v>800</v>
      </c>
      <c r="E33" s="63">
        <v>100</v>
      </c>
      <c r="F33" s="63">
        <v>200</v>
      </c>
      <c r="G33" s="63">
        <v>400</v>
      </c>
      <c r="H33" s="63">
        <v>150</v>
      </c>
      <c r="I33" s="63">
        <v>350</v>
      </c>
      <c r="J33" s="63">
        <v>150</v>
      </c>
      <c r="K33" s="63">
        <v>150</v>
      </c>
      <c r="L33" s="63">
        <v>130</v>
      </c>
      <c r="M33" s="63">
        <v>50</v>
      </c>
      <c r="N33" s="63">
        <v>150</v>
      </c>
      <c r="O33" s="63">
        <v>100</v>
      </c>
    </row>
    <row r="34" spans="2:15" ht="15.75" customHeight="1">
      <c r="B34" s="148" t="s">
        <v>52</v>
      </c>
      <c r="C34" s="149" t="s">
        <v>90</v>
      </c>
      <c r="D34" s="189">
        <f>D33/C33</f>
        <v>0.29304029304029305</v>
      </c>
      <c r="E34" s="189">
        <f>E33/C33</f>
        <v>0.03663003663003663</v>
      </c>
      <c r="F34" s="189">
        <f>F33/C33</f>
        <v>0.07326007326007326</v>
      </c>
      <c r="G34" s="189">
        <f>G33/C33</f>
        <v>0.14652014652014653</v>
      </c>
      <c r="H34" s="189">
        <f>H33/C33</f>
        <v>0.054945054945054944</v>
      </c>
      <c r="I34" s="189">
        <f>I33/C33</f>
        <v>0.1282051282051282</v>
      </c>
      <c r="J34" s="189">
        <f>J33/C33</f>
        <v>0.054945054945054944</v>
      </c>
      <c r="K34" s="189">
        <f>K33/C33</f>
        <v>0.054945054945054944</v>
      </c>
      <c r="L34" s="206">
        <f>L33/C33</f>
        <v>0.047619047619047616</v>
      </c>
      <c r="M34" s="206">
        <f>M33/C33</f>
        <v>0.018315018315018316</v>
      </c>
      <c r="N34" s="206">
        <f>N33/C33</f>
        <v>0.054945054945054944</v>
      </c>
      <c r="O34" s="206">
        <f>O33/C33</f>
        <v>0.03663003663003663</v>
      </c>
    </row>
    <row r="35" spans="2:15" ht="15.75" customHeight="1">
      <c r="B35" s="144" t="s">
        <v>83</v>
      </c>
      <c r="C35" s="153">
        <f>D20+D22+D21+D23</f>
        <v>1050000</v>
      </c>
      <c r="D35" s="155">
        <f>D34*C35</f>
        <v>307692.3076923077</v>
      </c>
      <c r="E35" s="154">
        <f>C35*E34</f>
        <v>38461.53846153846</v>
      </c>
      <c r="F35" s="154">
        <f>C35*F34</f>
        <v>76923.07692307692</v>
      </c>
      <c r="G35" s="154">
        <f>C35*G34</f>
        <v>153846.15384615384</v>
      </c>
      <c r="H35" s="154">
        <f>C35*H34</f>
        <v>57692.30769230769</v>
      </c>
      <c r="I35" s="154">
        <f>C35*I34</f>
        <v>134615.3846153846</v>
      </c>
      <c r="J35" s="154">
        <f>C35*J34</f>
        <v>57692.30769230769</v>
      </c>
      <c r="K35" s="154">
        <f>C35*K34</f>
        <v>57692.30769230769</v>
      </c>
      <c r="L35" s="154">
        <f>C35*L34</f>
        <v>50000</v>
      </c>
      <c r="M35" s="154">
        <f>C35*M34</f>
        <v>19230.76923076923</v>
      </c>
      <c r="N35" s="154">
        <f>C35*N34</f>
        <v>57692.30769230769</v>
      </c>
      <c r="O35" s="154">
        <f>O34*C35</f>
        <v>38461.53846153846</v>
      </c>
    </row>
    <row r="36" spans="2:15" ht="15.75" customHeight="1">
      <c r="B36" s="144" t="s">
        <v>84</v>
      </c>
      <c r="C36" s="153">
        <f>D24</f>
        <v>80000</v>
      </c>
      <c r="D36" s="155">
        <f>D34*C36</f>
        <v>23443.223443223444</v>
      </c>
      <c r="E36" s="155">
        <f>C36*E34</f>
        <v>2930.4029304029305</v>
      </c>
      <c r="F36" s="155">
        <f>F34*C36</f>
        <v>5860.805860805861</v>
      </c>
      <c r="G36" s="155">
        <f>C36*G34</f>
        <v>11721.611721611722</v>
      </c>
      <c r="H36" s="155">
        <f>C36*H34</f>
        <v>4395.604395604396</v>
      </c>
      <c r="I36" s="155">
        <f>C36*I34</f>
        <v>10256.410256410256</v>
      </c>
      <c r="J36" s="155">
        <f>C36*J34</f>
        <v>4395.604395604396</v>
      </c>
      <c r="K36" s="155">
        <f>C36*K34</f>
        <v>4395.604395604396</v>
      </c>
      <c r="L36" s="155">
        <f>C36*L34</f>
        <v>3809.523809523809</v>
      </c>
      <c r="M36" s="155">
        <f>C36*M34</f>
        <v>1465.2014652014652</v>
      </c>
      <c r="N36" s="155">
        <f>C36*N34</f>
        <v>4395.604395604396</v>
      </c>
      <c r="O36" s="155">
        <f>O34*C36</f>
        <v>2930.4029304029305</v>
      </c>
    </row>
    <row r="37" spans="2:15" ht="15.75" customHeight="1">
      <c r="B37" s="144" t="s">
        <v>85</v>
      </c>
      <c r="C37" s="153">
        <f>D25</f>
        <v>222000</v>
      </c>
      <c r="D37" s="155">
        <f>D34*C37</f>
        <v>65054.945054945056</v>
      </c>
      <c r="E37" s="155">
        <f>C37*E34</f>
        <v>8131.868131868132</v>
      </c>
      <c r="F37" s="155">
        <f>C37*F34</f>
        <v>16263.736263736264</v>
      </c>
      <c r="G37" s="155">
        <f>C37*G34</f>
        <v>32527.472527472528</v>
      </c>
      <c r="H37" s="155">
        <f>C37*H34</f>
        <v>12197.802197802197</v>
      </c>
      <c r="I37" s="155">
        <f>C37*I34</f>
        <v>28461.538461538457</v>
      </c>
      <c r="J37" s="155">
        <f>C37*J34</f>
        <v>12197.802197802197</v>
      </c>
      <c r="K37" s="155">
        <f>C37*K34</f>
        <v>12197.802197802197</v>
      </c>
      <c r="L37" s="155">
        <f>C37*L34</f>
        <v>10571.42857142857</v>
      </c>
      <c r="M37" s="155">
        <f>C37*M34</f>
        <v>4065.934065934066</v>
      </c>
      <c r="N37" s="155">
        <f>C37*N34</f>
        <v>12197.802197802197</v>
      </c>
      <c r="O37" s="155">
        <f>O34*C37</f>
        <v>8131.868131868132</v>
      </c>
    </row>
    <row r="38" spans="2:15" ht="15.75" customHeight="1" thickBot="1">
      <c r="B38" s="158" t="s">
        <v>92</v>
      </c>
      <c r="C38" s="159">
        <f>D26</f>
        <v>552200</v>
      </c>
      <c r="D38" s="155">
        <f>D34*C38</f>
        <v>161816.84981684983</v>
      </c>
      <c r="E38" s="155">
        <f>C38*E34</f>
        <v>20227.10622710623</v>
      </c>
      <c r="F38" s="155">
        <f>C38*F34</f>
        <v>40454.21245421246</v>
      </c>
      <c r="G38" s="155">
        <f>C38*G34</f>
        <v>80908.42490842492</v>
      </c>
      <c r="H38" s="155">
        <f>C38*H34</f>
        <v>30340.65934065934</v>
      </c>
      <c r="I38" s="155">
        <f>C38*I34</f>
        <v>70794.87179487178</v>
      </c>
      <c r="J38" s="155">
        <f>C38*J34</f>
        <v>30340.65934065934</v>
      </c>
      <c r="K38" s="155">
        <f>C38*K34</f>
        <v>30340.65934065934</v>
      </c>
      <c r="L38" s="155">
        <f>C38*L34</f>
        <v>26295.238095238095</v>
      </c>
      <c r="M38" s="155">
        <f>C38*M34</f>
        <v>10113.553113553115</v>
      </c>
      <c r="N38" s="155">
        <f>C38*N34</f>
        <v>30340.65934065934</v>
      </c>
      <c r="O38" s="155">
        <f>O34*C38</f>
        <v>20227.10622710623</v>
      </c>
    </row>
    <row r="39" spans="2:15" ht="15.75" customHeight="1">
      <c r="B39" s="66" t="s">
        <v>26</v>
      </c>
      <c r="C39" s="156">
        <f aca="true" t="shared" si="3" ref="C39:L39">SUM(C35:C38)</f>
        <v>1904200</v>
      </c>
      <c r="D39" s="157">
        <f>SUM(D35:D38)</f>
        <v>558007.326007326</v>
      </c>
      <c r="E39" s="157">
        <f t="shared" si="3"/>
        <v>69750.91575091575</v>
      </c>
      <c r="F39" s="157">
        <f t="shared" si="3"/>
        <v>139501.8315018315</v>
      </c>
      <c r="G39" s="157">
        <f t="shared" si="3"/>
        <v>279003.663003663</v>
      </c>
      <c r="H39" s="157">
        <f t="shared" si="3"/>
        <v>104626.37362637362</v>
      </c>
      <c r="I39" s="157">
        <f t="shared" si="3"/>
        <v>244128.2051282051</v>
      </c>
      <c r="J39" s="157">
        <f t="shared" si="3"/>
        <v>104626.37362637362</v>
      </c>
      <c r="K39" s="157">
        <f t="shared" si="3"/>
        <v>104626.37362637362</v>
      </c>
      <c r="L39" s="157">
        <f t="shared" si="3"/>
        <v>90676.19047619047</v>
      </c>
      <c r="M39" s="157">
        <f>SUM(M35:M38)</f>
        <v>34875.457875457876</v>
      </c>
      <c r="N39" s="157">
        <f>SUM(N35:N38)</f>
        <v>104626.37362637362</v>
      </c>
      <c r="O39" s="157">
        <f>SUM(O35:O38)</f>
        <v>69750.91575091575</v>
      </c>
    </row>
    <row r="41" spans="3:10" ht="102.75" thickBot="1">
      <c r="C41" s="171" t="s">
        <v>114</v>
      </c>
      <c r="D41" s="171" t="s">
        <v>115</v>
      </c>
      <c r="E41" s="171" t="s">
        <v>108</v>
      </c>
      <c r="F41" s="171" t="s">
        <v>117</v>
      </c>
      <c r="G41" s="171" t="s">
        <v>118</v>
      </c>
      <c r="H41" s="171" t="s">
        <v>120</v>
      </c>
      <c r="I41" s="171" t="s">
        <v>119</v>
      </c>
      <c r="J41" s="171" t="s">
        <v>121</v>
      </c>
    </row>
    <row r="42" spans="2:10" ht="15.75" customHeight="1" thickBot="1">
      <c r="B42" s="163" t="s">
        <v>9</v>
      </c>
      <c r="C42" s="164">
        <v>800</v>
      </c>
      <c r="D42" s="243">
        <v>2730</v>
      </c>
      <c r="E42" s="233">
        <f>D39</f>
        <v>558007.326007326</v>
      </c>
      <c r="F42" s="246">
        <f aca="true" t="shared" si="4" ref="F42:F50">E42/C42</f>
        <v>697.5091575091575</v>
      </c>
      <c r="G42" s="250">
        <f>E42/H42</f>
        <v>930.0122100122101</v>
      </c>
      <c r="H42" s="251">
        <f>C42*0.75</f>
        <v>600</v>
      </c>
      <c r="I42" s="237">
        <f aca="true" t="shared" si="5" ref="I42:I53">F42*2</f>
        <v>1395.018315018315</v>
      </c>
      <c r="J42" s="237">
        <f aca="true" t="shared" si="6" ref="J42:J53">C42/2</f>
        <v>400</v>
      </c>
    </row>
    <row r="43" spans="2:10" ht="15.75" customHeight="1" thickBot="1">
      <c r="B43" s="167" t="s">
        <v>10</v>
      </c>
      <c r="C43" s="63">
        <v>100</v>
      </c>
      <c r="D43" s="241">
        <v>2730</v>
      </c>
      <c r="E43" s="234">
        <f>E39</f>
        <v>69750.91575091575</v>
      </c>
      <c r="F43" s="247">
        <f t="shared" si="4"/>
        <v>697.5091575091575</v>
      </c>
      <c r="G43" s="250">
        <f aca="true" t="shared" si="7" ref="G43:G53">E43/H43</f>
        <v>930.0122100122101</v>
      </c>
      <c r="H43" s="251">
        <f>C43*0.75</f>
        <v>75</v>
      </c>
      <c r="I43" s="237">
        <f t="shared" si="5"/>
        <v>1395.018315018315</v>
      </c>
      <c r="J43" s="238">
        <f t="shared" si="6"/>
        <v>50</v>
      </c>
    </row>
    <row r="44" spans="2:10" ht="15.75" customHeight="1" thickBot="1">
      <c r="B44" s="167" t="s">
        <v>11</v>
      </c>
      <c r="C44" s="63">
        <v>200</v>
      </c>
      <c r="D44" s="241">
        <v>2730</v>
      </c>
      <c r="E44" s="234">
        <f>F39</f>
        <v>139501.8315018315</v>
      </c>
      <c r="F44" s="247">
        <f t="shared" si="4"/>
        <v>697.5091575091575</v>
      </c>
      <c r="G44" s="250">
        <f t="shared" si="7"/>
        <v>930.0122100122101</v>
      </c>
      <c r="H44" s="251">
        <f>C44*0.75</f>
        <v>150</v>
      </c>
      <c r="I44" s="237">
        <f t="shared" si="5"/>
        <v>1395.018315018315</v>
      </c>
      <c r="J44" s="238">
        <f t="shared" si="6"/>
        <v>100</v>
      </c>
    </row>
    <row r="45" spans="2:10" ht="15.75" customHeight="1" thickBot="1">
      <c r="B45" s="167" t="s">
        <v>12</v>
      </c>
      <c r="C45" s="63">
        <v>400</v>
      </c>
      <c r="D45" s="241">
        <v>2730</v>
      </c>
      <c r="E45" s="234">
        <f>G39</f>
        <v>279003.663003663</v>
      </c>
      <c r="F45" s="247">
        <f t="shared" si="4"/>
        <v>697.5091575091575</v>
      </c>
      <c r="G45" s="250">
        <f t="shared" si="7"/>
        <v>930.0122100122101</v>
      </c>
      <c r="H45" s="251">
        <f>C45*0.75</f>
        <v>300</v>
      </c>
      <c r="I45" s="237">
        <f t="shared" si="5"/>
        <v>1395.018315018315</v>
      </c>
      <c r="J45" s="238">
        <f t="shared" si="6"/>
        <v>200</v>
      </c>
    </row>
    <row r="46" spans="2:10" ht="15.75" customHeight="1" thickBot="1">
      <c r="B46" s="167" t="s">
        <v>16</v>
      </c>
      <c r="C46" s="63">
        <v>150</v>
      </c>
      <c r="D46" s="241">
        <v>2730</v>
      </c>
      <c r="E46" s="234">
        <f>H39</f>
        <v>104626.37362637362</v>
      </c>
      <c r="F46" s="247">
        <f t="shared" si="4"/>
        <v>697.5091575091575</v>
      </c>
      <c r="G46" s="250">
        <f t="shared" si="7"/>
        <v>930.01221001221</v>
      </c>
      <c r="H46" s="250">
        <f aca="true" t="shared" si="8" ref="H46:H53">C46*0.75</f>
        <v>112.5</v>
      </c>
      <c r="I46" s="237">
        <f t="shared" si="5"/>
        <v>1395.018315018315</v>
      </c>
      <c r="J46" s="238">
        <f t="shared" si="6"/>
        <v>75</v>
      </c>
    </row>
    <row r="47" spans="2:10" ht="15.75" customHeight="1" thickBot="1">
      <c r="B47" s="167" t="s">
        <v>18</v>
      </c>
      <c r="C47" s="63">
        <v>350</v>
      </c>
      <c r="D47" s="241">
        <v>2730</v>
      </c>
      <c r="E47" s="234">
        <f>I39</f>
        <v>244128.2051282051</v>
      </c>
      <c r="F47" s="247">
        <f t="shared" si="4"/>
        <v>697.5091575091574</v>
      </c>
      <c r="G47" s="250">
        <f t="shared" si="7"/>
        <v>930.0122100122098</v>
      </c>
      <c r="H47" s="250">
        <f t="shared" si="8"/>
        <v>262.5</v>
      </c>
      <c r="I47" s="237">
        <f t="shared" si="5"/>
        <v>1395.0183150183148</v>
      </c>
      <c r="J47" s="238">
        <f t="shared" si="6"/>
        <v>175</v>
      </c>
    </row>
    <row r="48" spans="2:10" ht="15.75" customHeight="1" thickBot="1">
      <c r="B48" s="167" t="s">
        <v>21</v>
      </c>
      <c r="C48" s="63">
        <v>150</v>
      </c>
      <c r="D48" s="241">
        <v>2730</v>
      </c>
      <c r="E48" s="234">
        <f>J39</f>
        <v>104626.37362637362</v>
      </c>
      <c r="F48" s="247">
        <f t="shared" si="4"/>
        <v>697.5091575091575</v>
      </c>
      <c r="G48" s="250">
        <f t="shared" si="7"/>
        <v>930.01221001221</v>
      </c>
      <c r="H48" s="250">
        <f t="shared" si="8"/>
        <v>112.5</v>
      </c>
      <c r="I48" s="237">
        <f t="shared" si="5"/>
        <v>1395.018315018315</v>
      </c>
      <c r="J48" s="238">
        <f t="shared" si="6"/>
        <v>75</v>
      </c>
    </row>
    <row r="49" spans="2:10" ht="15.75" customHeight="1" thickBot="1">
      <c r="B49" s="167" t="s">
        <v>23</v>
      </c>
      <c r="C49" s="63">
        <v>150</v>
      </c>
      <c r="D49" s="241">
        <v>2730</v>
      </c>
      <c r="E49" s="234">
        <f>K39</f>
        <v>104626.37362637362</v>
      </c>
      <c r="F49" s="247">
        <f t="shared" si="4"/>
        <v>697.5091575091575</v>
      </c>
      <c r="G49" s="250">
        <f t="shared" si="7"/>
        <v>930.01221001221</v>
      </c>
      <c r="H49" s="250">
        <f t="shared" si="8"/>
        <v>112.5</v>
      </c>
      <c r="I49" s="237">
        <f t="shared" si="5"/>
        <v>1395.018315018315</v>
      </c>
      <c r="J49" s="238">
        <f t="shared" si="6"/>
        <v>75</v>
      </c>
    </row>
    <row r="50" spans="2:10" ht="15.75" customHeight="1" thickBot="1">
      <c r="B50" s="167" t="s">
        <v>33</v>
      </c>
      <c r="C50" s="63">
        <v>130</v>
      </c>
      <c r="D50" s="241">
        <v>2730</v>
      </c>
      <c r="E50" s="234">
        <f>L39</f>
        <v>90676.19047619047</v>
      </c>
      <c r="F50" s="247">
        <f t="shared" si="4"/>
        <v>697.5091575091575</v>
      </c>
      <c r="G50" s="250">
        <f t="shared" si="7"/>
        <v>930.01221001221</v>
      </c>
      <c r="H50" s="250">
        <f t="shared" si="8"/>
        <v>97.5</v>
      </c>
      <c r="I50" s="237">
        <f t="shared" si="5"/>
        <v>1395.018315018315</v>
      </c>
      <c r="J50" s="238">
        <f t="shared" si="6"/>
        <v>65</v>
      </c>
    </row>
    <row r="51" spans="2:10" ht="15.75" customHeight="1" thickBot="1">
      <c r="B51" s="167" t="s">
        <v>13</v>
      </c>
      <c r="C51" s="63">
        <v>50</v>
      </c>
      <c r="D51" s="241">
        <v>2730</v>
      </c>
      <c r="E51" s="234">
        <f>M39</f>
        <v>34875.457875457876</v>
      </c>
      <c r="F51" s="247">
        <f>E51/C51</f>
        <v>697.5091575091575</v>
      </c>
      <c r="G51" s="250">
        <f t="shared" si="7"/>
        <v>930.0122100122101</v>
      </c>
      <c r="H51" s="250">
        <f t="shared" si="8"/>
        <v>37.5</v>
      </c>
      <c r="I51" s="237">
        <f t="shared" si="5"/>
        <v>1395.018315018315</v>
      </c>
      <c r="J51" s="238">
        <f t="shared" si="6"/>
        <v>25</v>
      </c>
    </row>
    <row r="52" spans="2:10" ht="15.75" customHeight="1" thickBot="1">
      <c r="B52" s="228" t="s">
        <v>17</v>
      </c>
      <c r="C52" s="232">
        <v>100</v>
      </c>
      <c r="D52" s="241">
        <v>2730</v>
      </c>
      <c r="E52" s="235">
        <f>O39</f>
        <v>69750.91575091575</v>
      </c>
      <c r="F52" s="248">
        <f>E52/C52</f>
        <v>697.5091575091575</v>
      </c>
      <c r="G52" s="250">
        <f t="shared" si="7"/>
        <v>930.0122100122101</v>
      </c>
      <c r="H52" s="250">
        <f t="shared" si="8"/>
        <v>75</v>
      </c>
      <c r="I52" s="237">
        <f t="shared" si="5"/>
        <v>1395.018315018315</v>
      </c>
      <c r="J52" s="239">
        <f t="shared" si="6"/>
        <v>50</v>
      </c>
    </row>
    <row r="53" spans="2:10" ht="15.75" customHeight="1" thickBot="1">
      <c r="B53" s="174" t="s">
        <v>25</v>
      </c>
      <c r="C53" s="227">
        <v>150</v>
      </c>
      <c r="D53" s="244">
        <v>2730</v>
      </c>
      <c r="E53" s="236">
        <f>N39</f>
        <v>104626.37362637362</v>
      </c>
      <c r="F53" s="249">
        <f>E53/C53</f>
        <v>697.5091575091575</v>
      </c>
      <c r="G53" s="250">
        <f t="shared" si="7"/>
        <v>930.01221001221</v>
      </c>
      <c r="H53" s="250">
        <f t="shared" si="8"/>
        <v>112.5</v>
      </c>
      <c r="I53" s="237">
        <f t="shared" si="5"/>
        <v>1395.018315018315</v>
      </c>
      <c r="J53" s="240">
        <f t="shared" si="6"/>
        <v>75</v>
      </c>
    </row>
    <row r="54" spans="2:10" ht="15.75" customHeight="1" thickBot="1">
      <c r="B54" s="224" t="s">
        <v>26</v>
      </c>
      <c r="C54" s="229">
        <f>SUM(C42:C53)</f>
        <v>2730</v>
      </c>
      <c r="D54" s="231"/>
      <c r="E54" s="230">
        <f>SUM(E42:E53)</f>
        <v>1904200.0000000002</v>
      </c>
      <c r="F54" s="225"/>
      <c r="G54" s="225"/>
      <c r="H54" s="252">
        <f>SUM(H42:H53)</f>
        <v>2047.5</v>
      </c>
      <c r="I54" s="245"/>
      <c r="J54" s="226">
        <f>SUM(J42:J53)</f>
        <v>1365</v>
      </c>
    </row>
  </sheetData>
  <sheetProtection selectLockedCells="1" selectUnlockedCells="1"/>
  <mergeCells count="1">
    <mergeCell ref="B31:C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3.8515625" style="0" customWidth="1"/>
    <col min="2" max="2" width="16.00390625" style="0" customWidth="1"/>
    <col min="3" max="3" width="18.57421875" style="0" customWidth="1"/>
    <col min="4" max="5" width="13.57421875" style="0" customWidth="1"/>
    <col min="6" max="7" width="12.28125" style="0" customWidth="1"/>
    <col min="8" max="9" width="9.8515625" style="0" customWidth="1"/>
    <col min="10" max="11" width="9.57421875" style="1" customWidth="1"/>
    <col min="12" max="12" width="16.8515625" style="1" customWidth="1"/>
    <col min="13" max="13" width="15.140625" style="0" customWidth="1"/>
    <col min="14" max="14" width="14.28125" style="0" customWidth="1"/>
    <col min="15" max="15" width="11.28125" style="0" customWidth="1"/>
  </cols>
  <sheetData>
    <row r="1" spans="2:16" ht="30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4"/>
      <c r="N1" s="4"/>
      <c r="O1" s="5"/>
      <c r="P1" s="6"/>
    </row>
    <row r="2" ht="15.75" customHeight="1" thickBot="1"/>
    <row r="3" spans="3:15" s="7" customFormat="1" ht="66" customHeight="1" thickBot="1">
      <c r="C3" s="8" t="s">
        <v>43</v>
      </c>
      <c r="D3" s="8" t="s">
        <v>60</v>
      </c>
      <c r="E3" s="8" t="s">
        <v>59</v>
      </c>
      <c r="F3" s="8" t="s">
        <v>61</v>
      </c>
      <c r="G3" s="8" t="s">
        <v>62</v>
      </c>
      <c r="H3" s="8" t="s">
        <v>64</v>
      </c>
      <c r="I3" s="112" t="s">
        <v>63</v>
      </c>
      <c r="J3" s="113" t="s">
        <v>65</v>
      </c>
      <c r="K3" s="113" t="s">
        <v>66</v>
      </c>
      <c r="L3" s="10" t="s">
        <v>44</v>
      </c>
      <c r="M3" s="11" t="s">
        <v>45</v>
      </c>
      <c r="N3" s="11" t="s">
        <v>46</v>
      </c>
      <c r="O3" s="8" t="s">
        <v>1</v>
      </c>
    </row>
    <row r="4" spans="1:15" ht="15.75" customHeight="1" thickBot="1">
      <c r="A4">
        <v>1</v>
      </c>
      <c r="B4" s="13" t="s">
        <v>9</v>
      </c>
      <c r="C4" s="48" t="s">
        <v>47</v>
      </c>
      <c r="D4" s="88"/>
      <c r="E4" s="88"/>
      <c r="F4" s="93">
        <v>91</v>
      </c>
      <c r="G4" s="93"/>
      <c r="H4" s="94">
        <v>800</v>
      </c>
      <c r="I4" s="111"/>
      <c r="J4" s="63">
        <v>1050</v>
      </c>
      <c r="K4" s="63"/>
      <c r="L4" s="93" t="s">
        <v>57</v>
      </c>
      <c r="M4" s="97">
        <v>59.578</v>
      </c>
      <c r="N4" s="89">
        <v>117.57</v>
      </c>
      <c r="O4" s="50">
        <v>3251</v>
      </c>
    </row>
    <row r="5" spans="1:15" ht="15.75" customHeight="1" thickBot="1">
      <c r="A5">
        <v>2</v>
      </c>
      <c r="B5" s="13" t="s">
        <v>10</v>
      </c>
      <c r="C5" s="51" t="s">
        <v>47</v>
      </c>
      <c r="D5" s="76">
        <v>0</v>
      </c>
      <c r="E5" s="76">
        <v>0</v>
      </c>
      <c r="F5" s="76">
        <v>0</v>
      </c>
      <c r="G5" s="91">
        <v>0</v>
      </c>
      <c r="H5" s="91">
        <v>0</v>
      </c>
      <c r="I5" s="105">
        <v>0</v>
      </c>
      <c r="J5" s="105">
        <v>0</v>
      </c>
      <c r="K5" s="105">
        <v>0</v>
      </c>
      <c r="L5" s="77" t="s">
        <v>69</v>
      </c>
      <c r="M5" s="98">
        <v>0</v>
      </c>
      <c r="N5" s="53">
        <v>3.17</v>
      </c>
      <c r="O5" s="52">
        <v>235</v>
      </c>
    </row>
    <row r="6" spans="1:15" ht="15.75" customHeight="1" thickBot="1">
      <c r="A6">
        <v>3</v>
      </c>
      <c r="B6" s="13" t="s">
        <v>11</v>
      </c>
      <c r="C6" s="51" t="s">
        <v>47</v>
      </c>
      <c r="D6" s="73">
        <v>0</v>
      </c>
      <c r="E6" s="74">
        <v>0</v>
      </c>
      <c r="F6" s="108">
        <v>0</v>
      </c>
      <c r="G6" s="109">
        <v>8</v>
      </c>
      <c r="H6" s="110">
        <v>0</v>
      </c>
      <c r="I6" s="110">
        <v>900</v>
      </c>
      <c r="J6" s="111">
        <v>0</v>
      </c>
      <c r="K6" s="111">
        <v>1200</v>
      </c>
      <c r="L6" s="75" t="s">
        <v>57</v>
      </c>
      <c r="M6" s="99">
        <f>100*8*8*0.001</f>
        <v>6.4</v>
      </c>
      <c r="N6" s="72">
        <v>43.88</v>
      </c>
      <c r="O6" s="59">
        <v>1071</v>
      </c>
    </row>
    <row r="7" spans="1:17" ht="15.75" customHeight="1" thickBot="1">
      <c r="A7">
        <v>4</v>
      </c>
      <c r="B7" s="13" t="s">
        <v>12</v>
      </c>
      <c r="C7" s="51" t="s">
        <v>47</v>
      </c>
      <c r="D7" s="76">
        <v>0</v>
      </c>
      <c r="E7" s="76">
        <v>36</v>
      </c>
      <c r="F7" s="76">
        <v>11</v>
      </c>
      <c r="G7" s="77">
        <v>106</v>
      </c>
      <c r="H7" s="77">
        <v>1250</v>
      </c>
      <c r="I7" s="77">
        <v>673</v>
      </c>
      <c r="J7" s="77">
        <v>1560</v>
      </c>
      <c r="K7" s="77">
        <v>871</v>
      </c>
      <c r="L7" s="77" t="s">
        <v>57</v>
      </c>
      <c r="M7" s="100">
        <v>84.3487</v>
      </c>
      <c r="N7" s="53">
        <v>67.07</v>
      </c>
      <c r="O7" s="52">
        <v>1028</v>
      </c>
      <c r="Q7" s="96"/>
    </row>
    <row r="8" spans="1:15" ht="15.75" customHeight="1" thickBot="1">
      <c r="A8">
        <v>5</v>
      </c>
      <c r="B8" s="13" t="s">
        <v>13</v>
      </c>
      <c r="C8" s="57" t="s">
        <v>50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7">
        <v>0</v>
      </c>
      <c r="J8" s="77">
        <v>0</v>
      </c>
      <c r="K8" s="77">
        <v>0</v>
      </c>
      <c r="L8" s="77">
        <v>0</v>
      </c>
      <c r="M8" s="98"/>
      <c r="N8" s="53">
        <v>12.32</v>
      </c>
      <c r="O8" s="52">
        <v>259</v>
      </c>
    </row>
    <row r="9" spans="1:15" ht="15.75" customHeight="1" thickBot="1">
      <c r="A9">
        <v>6</v>
      </c>
      <c r="B9" s="13" t="s">
        <v>14</v>
      </c>
      <c r="C9" s="57" t="s">
        <v>50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7">
        <v>0</v>
      </c>
      <c r="J9" s="77">
        <v>0</v>
      </c>
      <c r="K9" s="77">
        <v>0</v>
      </c>
      <c r="L9" s="77">
        <v>0</v>
      </c>
      <c r="M9" s="98"/>
      <c r="N9" s="53">
        <v>19.03</v>
      </c>
      <c r="O9" s="52">
        <v>1419</v>
      </c>
    </row>
    <row r="10" spans="1:16" ht="15.75" customHeight="1" thickBot="1">
      <c r="A10">
        <v>7</v>
      </c>
      <c r="B10" s="13" t="s">
        <v>15</v>
      </c>
      <c r="C10" s="58" t="s">
        <v>47</v>
      </c>
      <c r="D10" s="20"/>
      <c r="E10" s="20"/>
      <c r="F10" s="20"/>
      <c r="G10" s="20"/>
      <c r="H10" s="20"/>
      <c r="I10" s="49"/>
      <c r="J10" s="49"/>
      <c r="K10" s="49"/>
      <c r="L10" s="49"/>
      <c r="M10" s="98"/>
      <c r="N10" s="90">
        <v>6.42</v>
      </c>
      <c r="O10" s="52">
        <v>1283</v>
      </c>
      <c r="P10" s="106"/>
    </row>
    <row r="11" spans="1:16" ht="15.75" customHeight="1" thickBot="1">
      <c r="A11">
        <v>8</v>
      </c>
      <c r="B11" s="13" t="s">
        <v>16</v>
      </c>
      <c r="C11" s="58" t="s">
        <v>47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7">
        <v>0</v>
      </c>
      <c r="J11" s="77">
        <v>0</v>
      </c>
      <c r="K11" s="77">
        <v>0</v>
      </c>
      <c r="L11" s="77">
        <v>0</v>
      </c>
      <c r="M11" s="98"/>
      <c r="N11" s="53">
        <v>11.7</v>
      </c>
      <c r="O11" s="52">
        <v>509</v>
      </c>
      <c r="P11" s="106"/>
    </row>
    <row r="12" spans="1:15" ht="15.75" customHeight="1" thickBot="1">
      <c r="A12">
        <v>9</v>
      </c>
      <c r="B12" s="13" t="s">
        <v>17</v>
      </c>
      <c r="C12" s="57" t="s">
        <v>50</v>
      </c>
      <c r="D12" s="76">
        <v>19</v>
      </c>
      <c r="E12" s="76"/>
      <c r="F12" s="76">
        <v>16</v>
      </c>
      <c r="G12" s="76"/>
      <c r="H12" s="93">
        <v>1242</v>
      </c>
      <c r="I12" s="107">
        <v>34.5</v>
      </c>
      <c r="J12" s="77">
        <v>1484</v>
      </c>
      <c r="K12" s="107">
        <v>41.22</v>
      </c>
      <c r="L12" s="77" t="s">
        <v>57</v>
      </c>
      <c r="M12" s="98" t="s">
        <v>67</v>
      </c>
      <c r="N12" s="53">
        <v>16.19</v>
      </c>
      <c r="O12" s="52">
        <v>840</v>
      </c>
    </row>
    <row r="13" spans="1:15" ht="15.75" customHeight="1">
      <c r="A13">
        <v>10</v>
      </c>
      <c r="B13" s="22" t="s">
        <v>18</v>
      </c>
      <c r="C13" s="51" t="s">
        <v>47</v>
      </c>
      <c r="D13" s="91"/>
      <c r="E13" s="91">
        <v>1</v>
      </c>
      <c r="F13" s="91">
        <v>11</v>
      </c>
      <c r="G13" s="91">
        <v>44</v>
      </c>
      <c r="H13" s="91"/>
      <c r="I13" s="105">
        <v>850</v>
      </c>
      <c r="J13" s="77">
        <v>1650</v>
      </c>
      <c r="K13" s="77">
        <v>1100</v>
      </c>
      <c r="L13" s="93" t="s">
        <v>57</v>
      </c>
      <c r="M13" s="101"/>
      <c r="N13" s="56">
        <v>338</v>
      </c>
      <c r="O13" s="55">
        <v>729</v>
      </c>
    </row>
    <row r="14" spans="2:15" ht="15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>
        <v>440</v>
      </c>
      <c r="N14" s="30">
        <f>SUM(N4:N13)</f>
        <v>635.3499999999999</v>
      </c>
      <c r="O14" s="28">
        <f>SUM(O4:O13)</f>
        <v>10624</v>
      </c>
    </row>
    <row r="15" spans="2:15" ht="15.75" customHeight="1">
      <c r="B15" s="1"/>
      <c r="C15" s="1"/>
      <c r="D15" s="103"/>
      <c r="E15" s="103"/>
      <c r="F15" s="103"/>
      <c r="G15" s="103"/>
      <c r="H15" s="103"/>
      <c r="I15" s="103"/>
      <c r="J15" s="35"/>
      <c r="K15" s="35"/>
      <c r="L15" s="35"/>
      <c r="M15" s="35" t="s">
        <v>58</v>
      </c>
      <c r="N15" s="35"/>
      <c r="O15" s="35"/>
    </row>
    <row r="16" spans="4:15" ht="15.75" customHeight="1">
      <c r="D16" s="104"/>
      <c r="E16" s="104"/>
      <c r="F16" s="104"/>
      <c r="G16" s="104"/>
      <c r="H16" s="104"/>
      <c r="I16" s="104"/>
      <c r="O16" s="1"/>
    </row>
    <row r="17" spans="2:15" ht="15.75" customHeight="1">
      <c r="B17" s="37" t="s">
        <v>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"/>
    </row>
    <row r="18" spans="1:15" ht="15.75" customHeight="1">
      <c r="A18">
        <v>11</v>
      </c>
      <c r="B18" s="13" t="s">
        <v>21</v>
      </c>
      <c r="C18" s="51" t="s">
        <v>47</v>
      </c>
      <c r="D18" s="20"/>
      <c r="E18" s="20"/>
      <c r="F18" s="20"/>
      <c r="G18" s="20"/>
      <c r="H18" s="20"/>
      <c r="I18" s="49"/>
      <c r="J18" s="49"/>
      <c r="K18" s="49"/>
      <c r="L18" s="49"/>
      <c r="M18" s="53"/>
      <c r="N18" s="53"/>
      <c r="O18" s="52">
        <v>861</v>
      </c>
    </row>
    <row r="19" spans="1:15" ht="15.75" customHeight="1">
      <c r="A19">
        <v>12</v>
      </c>
      <c r="B19" s="13" t="s">
        <v>22</v>
      </c>
      <c r="C19" s="51" t="s">
        <v>47</v>
      </c>
      <c r="D19" s="20"/>
      <c r="E19" s="20"/>
      <c r="F19" s="20"/>
      <c r="G19" s="20"/>
      <c r="H19" s="20"/>
      <c r="I19" s="49"/>
      <c r="J19" s="49"/>
      <c r="K19" s="49"/>
      <c r="L19" s="49"/>
      <c r="M19" s="53"/>
      <c r="N19" s="53"/>
      <c r="O19" s="52">
        <v>617</v>
      </c>
    </row>
    <row r="20" spans="1:15" ht="15.75" customHeight="1" thickBot="1">
      <c r="A20">
        <v>13</v>
      </c>
      <c r="B20" s="13" t="s">
        <v>23</v>
      </c>
      <c r="C20" s="51" t="s">
        <v>47</v>
      </c>
      <c r="D20" s="76">
        <v>52</v>
      </c>
      <c r="E20" s="76"/>
      <c r="F20" s="76">
        <v>61</v>
      </c>
      <c r="G20" s="76"/>
      <c r="H20" s="76">
        <v>673</v>
      </c>
      <c r="I20" s="77"/>
      <c r="J20" s="77">
        <v>878</v>
      </c>
      <c r="K20" s="77"/>
      <c r="L20" s="77" t="s">
        <v>48</v>
      </c>
      <c r="M20" s="53"/>
      <c r="N20" s="53"/>
      <c r="O20" s="52">
        <v>520</v>
      </c>
    </row>
    <row r="21" spans="1:15" ht="15.75" customHeight="1">
      <c r="A21">
        <v>15</v>
      </c>
      <c r="B21" s="22" t="s">
        <v>25</v>
      </c>
      <c r="C21" s="54" t="s">
        <v>47</v>
      </c>
      <c r="D21" s="25"/>
      <c r="E21" s="25"/>
      <c r="F21" s="25"/>
      <c r="G21" s="25"/>
      <c r="H21" s="25"/>
      <c r="I21" s="95"/>
      <c r="J21" s="49"/>
      <c r="K21" s="49"/>
      <c r="L21" s="49"/>
      <c r="M21" s="56"/>
      <c r="N21" s="56"/>
      <c r="O21" s="55">
        <v>382</v>
      </c>
    </row>
    <row r="22" spans="2:15" ht="15.75" customHeight="1">
      <c r="B22" s="40" t="s">
        <v>26</v>
      </c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2"/>
      <c r="N22" s="42"/>
      <c r="O22" s="41">
        <f>SUM(O18:O21)</f>
        <v>2380</v>
      </c>
    </row>
    <row r="24" ht="15.75" customHeight="1" thickBot="1"/>
    <row r="25" spans="3:9" ht="15.75" customHeight="1" thickBot="1">
      <c r="C25" s="255" t="s">
        <v>68</v>
      </c>
      <c r="D25" s="255"/>
      <c r="E25" s="255"/>
      <c r="F25" s="255"/>
      <c r="G25" s="255"/>
      <c r="H25" s="255"/>
      <c r="I25" s="256"/>
    </row>
  </sheetData>
  <sheetProtection selectLockedCells="1" selectUnlockedCells="1"/>
  <mergeCells count="1">
    <mergeCell ref="C25:I2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4.140625" style="0" customWidth="1"/>
    <col min="2" max="2" width="18.57421875" style="0" customWidth="1"/>
    <col min="3" max="4" width="15.00390625" style="1" customWidth="1"/>
    <col min="5" max="5" width="9.57421875" style="1" customWidth="1"/>
    <col min="6" max="6" width="8.140625" style="0" customWidth="1"/>
    <col min="7" max="7" width="18.7109375" style="0" customWidth="1"/>
    <col min="8" max="8" width="22.57421875" style="0" customWidth="1"/>
    <col min="9" max="9" width="22.28125" style="0" customWidth="1"/>
    <col min="10" max="10" width="25.140625" style="0" customWidth="1"/>
    <col min="11" max="11" width="16.57421875" style="0" customWidth="1"/>
  </cols>
  <sheetData>
    <row r="1" spans="2:10" ht="30" customHeight="1">
      <c r="B1" s="2" t="s">
        <v>0</v>
      </c>
      <c r="C1" s="3"/>
      <c r="D1" s="3"/>
      <c r="E1" s="3"/>
      <c r="F1" s="4"/>
      <c r="G1" s="5"/>
      <c r="H1" s="6"/>
      <c r="I1" s="6"/>
      <c r="J1" s="6"/>
    </row>
    <row r="3" spans="3:11" s="7" customFormat="1" ht="62.25" customHeight="1" thickBot="1">
      <c r="C3" s="8" t="s">
        <v>1</v>
      </c>
      <c r="D3" s="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2"/>
    </row>
    <row r="4" spans="1:11" ht="15.75" customHeight="1" thickBot="1">
      <c r="A4">
        <v>1</v>
      </c>
      <c r="B4" s="13" t="s">
        <v>9</v>
      </c>
      <c r="C4" s="86">
        <v>3378</v>
      </c>
      <c r="D4" s="87">
        <f>C4/C14*100</f>
        <v>31.359079093947273</v>
      </c>
      <c r="E4" s="76">
        <v>1325</v>
      </c>
      <c r="F4" s="76">
        <v>1045</v>
      </c>
      <c r="G4" s="14">
        <f aca="true" t="shared" si="0" ref="G4:G13">C4/2</f>
        <v>1689</v>
      </c>
      <c r="H4" s="14">
        <f aca="true" t="shared" si="1" ref="H4:H14">C4*80/1000</f>
        <v>270.24</v>
      </c>
      <c r="I4" s="15">
        <f aca="true" t="shared" si="2" ref="I4:I14">C4*100/1000</f>
        <v>337.8</v>
      </c>
      <c r="J4" s="16">
        <f>J14/100*D4</f>
        <v>175610.84292610473</v>
      </c>
      <c r="K4" s="17"/>
    </row>
    <row r="5" spans="1:11" ht="15.75" customHeight="1" thickBot="1">
      <c r="A5">
        <v>2</v>
      </c>
      <c r="B5" s="13" t="s">
        <v>10</v>
      </c>
      <c r="C5" s="82">
        <v>256</v>
      </c>
      <c r="D5" s="85">
        <f>C5/C14*100</f>
        <v>2.376531748978834</v>
      </c>
      <c r="E5" s="114">
        <v>118</v>
      </c>
      <c r="F5" s="84">
        <v>38</v>
      </c>
      <c r="G5" s="14">
        <f t="shared" si="0"/>
        <v>128</v>
      </c>
      <c r="H5" s="14">
        <f t="shared" si="1"/>
        <v>20.48</v>
      </c>
      <c r="I5" s="15">
        <f t="shared" si="2"/>
        <v>25.6</v>
      </c>
      <c r="J5" s="21">
        <f>J14/100*D5</f>
        <v>13308.577794281471</v>
      </c>
      <c r="K5" s="17"/>
    </row>
    <row r="6" spans="1:11" ht="15.75" customHeight="1">
      <c r="A6">
        <v>3</v>
      </c>
      <c r="B6" s="13" t="s">
        <v>11</v>
      </c>
      <c r="C6" s="79">
        <v>1071</v>
      </c>
      <c r="D6" s="80">
        <f>C6/C14*100</f>
        <v>9.94244337170442</v>
      </c>
      <c r="E6" s="115">
        <v>394</v>
      </c>
      <c r="F6" s="81">
        <v>50</v>
      </c>
      <c r="G6" s="60">
        <f t="shared" si="0"/>
        <v>535.5</v>
      </c>
      <c r="H6" s="60">
        <f t="shared" si="1"/>
        <v>85.68</v>
      </c>
      <c r="I6" s="61">
        <f>C6*100/1000</f>
        <v>107.1</v>
      </c>
      <c r="J6" s="67">
        <f>J14/100*D6</f>
        <v>55677.682881544744</v>
      </c>
      <c r="K6" s="17"/>
    </row>
    <row r="7" spans="1:11" ht="15.75" customHeight="1">
      <c r="A7">
        <v>4</v>
      </c>
      <c r="B7" s="13" t="s">
        <v>12</v>
      </c>
      <c r="C7" s="82">
        <v>1028</v>
      </c>
      <c r="D7" s="19">
        <f>C7/C14*100</f>
        <v>9.54326030449313</v>
      </c>
      <c r="E7" s="76">
        <v>436</v>
      </c>
      <c r="F7" s="84">
        <v>285</v>
      </c>
      <c r="G7" s="14">
        <f t="shared" si="0"/>
        <v>514</v>
      </c>
      <c r="H7" s="14">
        <f t="shared" si="1"/>
        <v>82.24</v>
      </c>
      <c r="I7" s="15">
        <f t="shared" si="2"/>
        <v>102.8</v>
      </c>
      <c r="J7" s="21">
        <f>J14/100*D7</f>
        <v>53442.25770516152</v>
      </c>
      <c r="K7" s="17"/>
    </row>
    <row r="8" spans="1:11" ht="15.75" customHeight="1">
      <c r="A8">
        <v>5</v>
      </c>
      <c r="B8" s="13" t="s">
        <v>13</v>
      </c>
      <c r="C8" s="82">
        <v>259</v>
      </c>
      <c r="D8" s="19">
        <f>C8/C14*100</f>
        <v>2.4043817304121795</v>
      </c>
      <c r="E8" s="114">
        <v>80</v>
      </c>
      <c r="F8" s="84">
        <v>816</v>
      </c>
      <c r="G8" s="14">
        <f t="shared" si="0"/>
        <v>129.5</v>
      </c>
      <c r="H8" s="14">
        <f t="shared" si="1"/>
        <v>20.72</v>
      </c>
      <c r="I8" s="15">
        <f t="shared" si="2"/>
        <v>25.9</v>
      </c>
      <c r="J8" s="21">
        <f>J14/100*D8</f>
        <v>13464.537690308205</v>
      </c>
      <c r="K8" s="17"/>
    </row>
    <row r="9" spans="1:11" ht="15.75" customHeight="1">
      <c r="A9">
        <v>6</v>
      </c>
      <c r="B9" s="13" t="s">
        <v>14</v>
      </c>
      <c r="C9" s="82">
        <v>1419</v>
      </c>
      <c r="D9" s="19">
        <f>C9/C14*100</f>
        <v>13.173041217972523</v>
      </c>
      <c r="E9" s="76">
        <v>650</v>
      </c>
      <c r="F9" s="84">
        <v>390</v>
      </c>
      <c r="G9" s="14">
        <f t="shared" si="0"/>
        <v>709.5</v>
      </c>
      <c r="H9" s="14">
        <f t="shared" si="1"/>
        <v>113.52</v>
      </c>
      <c r="I9" s="15">
        <f t="shared" si="2"/>
        <v>141.9</v>
      </c>
      <c r="J9" s="21">
        <f>J14/100*D9</f>
        <v>73769.03082064613</v>
      </c>
      <c r="K9" s="17"/>
    </row>
    <row r="10" spans="1:11" ht="15.75" customHeight="1">
      <c r="A10">
        <v>7</v>
      </c>
      <c r="B10" s="13" t="s">
        <v>15</v>
      </c>
      <c r="C10" s="82">
        <v>1283</v>
      </c>
      <c r="D10" s="19">
        <f>C10/C14*100</f>
        <v>11.910508726327516</v>
      </c>
      <c r="E10" s="114">
        <v>594</v>
      </c>
      <c r="F10" s="84">
        <v>1282</v>
      </c>
      <c r="G10" s="14">
        <f t="shared" si="0"/>
        <v>641.5</v>
      </c>
      <c r="H10" s="14">
        <f t="shared" si="1"/>
        <v>102.64</v>
      </c>
      <c r="I10" s="15">
        <f t="shared" si="2"/>
        <v>128.3</v>
      </c>
      <c r="J10" s="21">
        <f>J14/100*D10</f>
        <v>66698.84886743409</v>
      </c>
      <c r="K10" s="17"/>
    </row>
    <row r="11" spans="1:11" ht="15.75" customHeight="1">
      <c r="A11">
        <v>8</v>
      </c>
      <c r="B11" s="13" t="s">
        <v>16</v>
      </c>
      <c r="C11" s="82">
        <v>509</v>
      </c>
      <c r="D11" s="19">
        <f>C11/C14*100</f>
        <v>4.725213516524322</v>
      </c>
      <c r="E11" s="114">
        <v>200</v>
      </c>
      <c r="F11" s="84">
        <v>100</v>
      </c>
      <c r="G11" s="14">
        <f t="shared" si="0"/>
        <v>254.5</v>
      </c>
      <c r="H11" s="14">
        <f t="shared" si="1"/>
        <v>40.72</v>
      </c>
      <c r="I11" s="15">
        <f t="shared" si="2"/>
        <v>50.9</v>
      </c>
      <c r="J11" s="21">
        <f>J14/100*D11</f>
        <v>26461.195692536203</v>
      </c>
      <c r="K11" s="17"/>
    </row>
    <row r="12" spans="1:11" ht="15.75" customHeight="1">
      <c r="A12">
        <v>9</v>
      </c>
      <c r="B12" s="13" t="s">
        <v>17</v>
      </c>
      <c r="C12" s="82">
        <v>840</v>
      </c>
      <c r="D12" s="19">
        <f>C12/C14*100</f>
        <v>7.7979948013368</v>
      </c>
      <c r="E12" s="115">
        <v>341</v>
      </c>
      <c r="F12" s="81">
        <v>117</v>
      </c>
      <c r="G12" s="14">
        <f t="shared" si="0"/>
        <v>420</v>
      </c>
      <c r="H12" s="14">
        <f t="shared" si="1"/>
        <v>67.2</v>
      </c>
      <c r="I12" s="15">
        <f t="shared" si="2"/>
        <v>84</v>
      </c>
      <c r="J12" s="21">
        <f>J14/100*D11</f>
        <v>26461.195692536203</v>
      </c>
      <c r="K12" s="17"/>
    </row>
    <row r="13" spans="1:11" ht="15.75" customHeight="1">
      <c r="A13">
        <v>10</v>
      </c>
      <c r="B13" s="22" t="s">
        <v>18</v>
      </c>
      <c r="C13" s="102">
        <v>729</v>
      </c>
      <c r="D13" s="24">
        <f>C13/C14*100</f>
        <v>6.767545488303008</v>
      </c>
      <c r="E13" s="91">
        <v>298</v>
      </c>
      <c r="F13" s="92">
        <v>230</v>
      </c>
      <c r="G13" s="14">
        <f t="shared" si="0"/>
        <v>364.5</v>
      </c>
      <c r="H13" s="14">
        <f t="shared" si="1"/>
        <v>58.32</v>
      </c>
      <c r="I13" s="15">
        <f t="shared" si="2"/>
        <v>72.9</v>
      </c>
      <c r="J13" s="21">
        <f>J14/100*D13</f>
        <v>37898.25473449685</v>
      </c>
      <c r="K13" s="17"/>
    </row>
    <row r="14" spans="2:11" ht="15.75" customHeight="1">
      <c r="B14" s="27" t="s">
        <v>19</v>
      </c>
      <c r="C14" s="28">
        <f>SUM(C4:C13)</f>
        <v>10772</v>
      </c>
      <c r="D14" s="29">
        <f>SUM(D4:D13)</f>
        <v>100.00000000000001</v>
      </c>
      <c r="E14" s="28">
        <f>SUM(E4:E13)</f>
        <v>4436</v>
      </c>
      <c r="F14" s="30">
        <f>SUM(F4:F13)</f>
        <v>4353</v>
      </c>
      <c r="G14" s="31">
        <f>SUM(G4:G13)</f>
        <v>5386</v>
      </c>
      <c r="H14" s="31">
        <f t="shared" si="1"/>
        <v>861.76</v>
      </c>
      <c r="I14" s="32">
        <f t="shared" si="2"/>
        <v>1077.2</v>
      </c>
      <c r="J14" s="33">
        <v>560000</v>
      </c>
      <c r="K14" s="34"/>
    </row>
    <row r="15" spans="2:10" ht="15.75" customHeight="1">
      <c r="B15" s="1"/>
      <c r="C15" s="35"/>
      <c r="D15" s="35"/>
      <c r="E15" s="116">
        <f>E5+E6+E8+E10+E11+E12+E18+E21</f>
        <v>2382</v>
      </c>
      <c r="F15" s="35"/>
      <c r="J15" s="36"/>
    </row>
    <row r="16" ht="15.75" customHeight="1">
      <c r="J16" s="36"/>
    </row>
    <row r="17" spans="2:10" ht="15.75" customHeight="1">
      <c r="B17" s="37" t="s">
        <v>20</v>
      </c>
      <c r="J17" s="36"/>
    </row>
    <row r="18" spans="1:10" ht="15.75" customHeight="1">
      <c r="A18">
        <v>11</v>
      </c>
      <c r="B18" s="13" t="s">
        <v>21</v>
      </c>
      <c r="C18" s="82">
        <v>861</v>
      </c>
      <c r="D18" s="83"/>
      <c r="E18" s="114">
        <v>345</v>
      </c>
      <c r="F18" s="84">
        <v>550</v>
      </c>
      <c r="G18" s="14">
        <f>C18/2</f>
        <v>430.5</v>
      </c>
      <c r="H18" s="14">
        <f>C18*80/1000</f>
        <v>68.88</v>
      </c>
      <c r="I18" s="15">
        <f>C18*100/1000</f>
        <v>86.1</v>
      </c>
      <c r="J18" s="36"/>
    </row>
    <row r="19" spans="1:10" ht="15.75" customHeight="1">
      <c r="A19">
        <v>12</v>
      </c>
      <c r="B19" s="13" t="s">
        <v>22</v>
      </c>
      <c r="C19" s="79">
        <v>670</v>
      </c>
      <c r="D19" s="78"/>
      <c r="E19" s="78">
        <v>385</v>
      </c>
      <c r="F19" s="81">
        <v>303</v>
      </c>
      <c r="G19" s="60">
        <f>C19/2</f>
        <v>335</v>
      </c>
      <c r="H19" s="60">
        <f>C19*80/1000</f>
        <v>53.6</v>
      </c>
      <c r="I19" s="61">
        <f>C19*100/1000</f>
        <v>67</v>
      </c>
      <c r="J19" s="36"/>
    </row>
    <row r="20" spans="1:10" ht="15.75" customHeight="1" thickBot="1">
      <c r="A20">
        <v>13</v>
      </c>
      <c r="B20" s="13" t="s">
        <v>23</v>
      </c>
      <c r="C20" s="82">
        <v>623</v>
      </c>
      <c r="D20" s="83"/>
      <c r="E20" s="76">
        <v>279</v>
      </c>
      <c r="F20" s="84">
        <v>182</v>
      </c>
      <c r="G20" s="14"/>
      <c r="H20" s="14">
        <f>C20*80/1000</f>
        <v>49.84</v>
      </c>
      <c r="I20" s="15">
        <f>C20*100/1000</f>
        <v>62.3</v>
      </c>
      <c r="J20" s="36"/>
    </row>
    <row r="21" spans="1:10" ht="15.75" customHeight="1">
      <c r="A21">
        <v>15</v>
      </c>
      <c r="B21" s="22" t="s">
        <v>25</v>
      </c>
      <c r="C21" s="23">
        <v>382</v>
      </c>
      <c r="D21" s="39"/>
      <c r="E21" s="117">
        <v>310</v>
      </c>
      <c r="F21" s="26">
        <v>185</v>
      </c>
      <c r="G21" s="14">
        <f>C21/2</f>
        <v>191</v>
      </c>
      <c r="H21" s="14">
        <f>C21*80/1000</f>
        <v>30.56</v>
      </c>
      <c r="I21" s="15">
        <f>C21*100/1000</f>
        <v>38.2</v>
      </c>
      <c r="J21" s="36"/>
    </row>
    <row r="22" spans="2:10" ht="15.75" customHeight="1">
      <c r="B22" s="40" t="s">
        <v>26</v>
      </c>
      <c r="C22" s="41">
        <f>SUM(C18:C21)</f>
        <v>2536</v>
      </c>
      <c r="D22" s="41"/>
      <c r="E22" s="41"/>
      <c r="F22" s="42"/>
      <c r="G22" s="31">
        <f>SUM(G18:G21)</f>
        <v>956.5</v>
      </c>
      <c r="H22" s="31">
        <f>C22*80/1000</f>
        <v>202.88</v>
      </c>
      <c r="I22" s="43">
        <f>C22*100/1000</f>
        <v>253.6</v>
      </c>
      <c r="J22" s="36"/>
    </row>
    <row r="26" ht="15.75" customHeight="1" thickBot="1">
      <c r="B26" s="44" t="s">
        <v>27</v>
      </c>
    </row>
    <row r="27" spans="2:3" ht="15.75" customHeight="1" thickBot="1">
      <c r="B27" s="13" t="s">
        <v>24</v>
      </c>
      <c r="C27" s="18">
        <v>855</v>
      </c>
    </row>
    <row r="28" spans="2:5" ht="15.75" customHeight="1">
      <c r="B28" s="45" t="s">
        <v>28</v>
      </c>
      <c r="C28" s="46"/>
      <c r="D28" s="46"/>
      <c r="E28" s="46"/>
    </row>
    <row r="29" spans="2:5" ht="15.75" customHeight="1">
      <c r="B29" s="45" t="s">
        <v>29</v>
      </c>
      <c r="C29" s="46"/>
      <c r="D29" s="46"/>
      <c r="E29" s="46"/>
    </row>
    <row r="30" spans="2:5" ht="15.75" customHeight="1">
      <c r="B30" s="45" t="s">
        <v>30</v>
      </c>
      <c r="C30" s="46"/>
      <c r="D30" s="46"/>
      <c r="E30" s="46"/>
    </row>
    <row r="31" spans="2:5" ht="15.75" customHeight="1">
      <c r="B31" s="45" t="s">
        <v>31</v>
      </c>
      <c r="C31" s="46"/>
      <c r="D31" s="46"/>
      <c r="E31" s="46"/>
    </row>
    <row r="32" spans="2:5" ht="15.75" customHeight="1">
      <c r="B32" s="45" t="s">
        <v>32</v>
      </c>
      <c r="C32" s="46"/>
      <c r="D32" s="46"/>
      <c r="E32" s="46"/>
    </row>
    <row r="33" spans="2:5" ht="15.75" customHeight="1">
      <c r="B33" s="45" t="s">
        <v>33</v>
      </c>
      <c r="C33" s="46"/>
      <c r="D33" s="46"/>
      <c r="E33" s="46"/>
    </row>
    <row r="34" spans="2:5" ht="15.75" customHeight="1">
      <c r="B34" s="45" t="s">
        <v>34</v>
      </c>
      <c r="C34" s="46"/>
      <c r="D34" s="46"/>
      <c r="E34" s="46"/>
    </row>
    <row r="35" spans="2:5" ht="15.75" customHeight="1">
      <c r="B35" s="45" t="s">
        <v>35</v>
      </c>
      <c r="C35" s="46"/>
      <c r="D35" s="46"/>
      <c r="E35" s="46"/>
    </row>
    <row r="38" ht="15.75" customHeight="1">
      <c r="B38" s="44" t="s">
        <v>36</v>
      </c>
    </row>
    <row r="40" spans="2:5" ht="15.75" customHeight="1">
      <c r="B40" s="45" t="s">
        <v>37</v>
      </c>
      <c r="C40" s="46"/>
      <c r="D40" s="46"/>
      <c r="E40" s="46"/>
    </row>
    <row r="41" spans="2:5" ht="15.75" customHeight="1">
      <c r="B41" s="45" t="s">
        <v>38</v>
      </c>
      <c r="C41" s="46"/>
      <c r="D41" s="46"/>
      <c r="E41" s="46"/>
    </row>
    <row r="42" spans="2:5" ht="15.75" customHeight="1">
      <c r="B42" s="45" t="s">
        <v>39</v>
      </c>
      <c r="C42" s="46"/>
      <c r="D42" s="46"/>
      <c r="E42" s="46"/>
    </row>
    <row r="43" spans="2:5" ht="15.75" customHeight="1">
      <c r="B43" s="45" t="s">
        <v>40</v>
      </c>
      <c r="C43" s="46"/>
      <c r="D43" s="46"/>
      <c r="E43" s="4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</dc:creator>
  <cp:keywords/>
  <dc:description/>
  <cp:lastModifiedBy>dáša</cp:lastModifiedBy>
  <cp:lastPrinted>2015-03-03T15:58:55Z</cp:lastPrinted>
  <dcterms:created xsi:type="dcterms:W3CDTF">2015-02-09T12:03:23Z</dcterms:created>
  <dcterms:modified xsi:type="dcterms:W3CDTF">2015-06-18T10:00:21Z</dcterms:modified>
  <cp:category/>
  <cp:version/>
  <cp:contentType/>
  <cp:contentStatus/>
</cp:coreProperties>
</file>